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6" activeTab="0"/>
  </bookViews>
  <sheets>
    <sheet name="Reestructuracion" sheetId="1" r:id="rId1"/>
    <sheet name="2030 Flujo" sheetId="2" state="hidden" r:id="rId2"/>
    <sheet name="2036 Flujo" sheetId="3" state="hidden" r:id="rId3"/>
    <sheet name="2039 Flujo" sheetId="4" state="hidden" r:id="rId4"/>
    <sheet name="2043 Flujo" sheetId="5" state="hidden" r:id="rId5"/>
    <sheet name="2047 Flujo" sheetId="6" state="hidden" r:id="rId6"/>
    <sheet name="Base" sheetId="7" state="hidden" r:id="rId7"/>
    <sheet name="Relaciones de canje" sheetId="8" state="hidden" r:id="rId8"/>
  </sheets>
  <definedNames/>
  <calcPr fullCalcOnLoad="1"/>
</workbook>
</file>

<file path=xl/sharedStrings.xml><?xml version="1.0" encoding="utf-8"?>
<sst xmlns="http://schemas.openxmlformats.org/spreadsheetml/2006/main" count="704" uniqueCount="222">
  <si>
    <t>From</t>
  </si>
  <si>
    <t>(Including)</t>
  </si>
  <si>
    <t>To</t>
  </si>
  <si>
    <t>(Excluding)</t>
  </si>
  <si>
    <t>CAPITAL</t>
  </si>
  <si>
    <t>INTEREST</t>
  </si>
  <si>
    <t>VR</t>
  </si>
  <si>
    <t>Pay</t>
  </si>
  <si>
    <t>NEW USD 2030 BOND</t>
  </si>
  <si>
    <t>NEW USD 2036 BOND</t>
  </si>
  <si>
    <t>NEW USD 2043 BOND</t>
  </si>
  <si>
    <t>NEW USD 2039 BOND</t>
  </si>
  <si>
    <t>NEW USD 2047 BOND</t>
  </si>
  <si>
    <t>Intereses</t>
  </si>
  <si>
    <t>Rate %</t>
  </si>
  <si>
    <t>Flujo de fondos</t>
  </si>
  <si>
    <t>Fecha</t>
  </si>
  <si>
    <t>Amortizacion</t>
  </si>
  <si>
    <t>Renta</t>
  </si>
  <si>
    <t>Tasa de interes anual</t>
  </si>
  <si>
    <t>Cash-flow</t>
  </si>
  <si>
    <t>Dias</t>
  </si>
  <si>
    <t>US040114GL81</t>
  </si>
  <si>
    <t>XS0501194756</t>
  </si>
  <si>
    <t>XS0501195050</t>
  </si>
  <si>
    <t>Cada 100 de</t>
  </si>
  <si>
    <t>Bonos en dolares</t>
  </si>
  <si>
    <t>US040114GK09</t>
  </si>
  <si>
    <t>XS0501195647</t>
  </si>
  <si>
    <t>XS0501195720</t>
  </si>
  <si>
    <t>US040114GW47</t>
  </si>
  <si>
    <t>USP04808AA23</t>
  </si>
  <si>
    <t>US040114HK99</t>
  </si>
  <si>
    <t>USP04808AL87</t>
  </si>
  <si>
    <t>US040114HP86</t>
  </si>
  <si>
    <t>Moneda</t>
  </si>
  <si>
    <t>Legislacion</t>
  </si>
  <si>
    <t>ISIN</t>
  </si>
  <si>
    <t>CODIGOS CAJA</t>
  </si>
  <si>
    <t>ESPECIE</t>
  </si>
  <si>
    <t>USD</t>
  </si>
  <si>
    <t>NY</t>
  </si>
  <si>
    <t xml:space="preserve">PARY </t>
  </si>
  <si>
    <t xml:space="preserve">PAY0 </t>
  </si>
  <si>
    <t xml:space="preserve">PAY5 </t>
  </si>
  <si>
    <t>EUR</t>
  </si>
  <si>
    <t>LONDRES</t>
  </si>
  <si>
    <t>XS0205537581</t>
  </si>
  <si>
    <t xml:space="preserve">PARE </t>
  </si>
  <si>
    <t>XS0501195993</t>
  </si>
  <si>
    <t xml:space="preserve">PAE0 </t>
  </si>
  <si>
    <t>XS0501196025</t>
  </si>
  <si>
    <t xml:space="preserve">PAE5 </t>
  </si>
  <si>
    <t>JPY</t>
  </si>
  <si>
    <t>TOKIO</t>
  </si>
  <si>
    <t>ARARGE03E659</t>
  </si>
  <si>
    <t xml:space="preserve">REP ARG A LA PAR YEN STEP UP 2038       </t>
  </si>
  <si>
    <t>ARARGE03G746</t>
  </si>
  <si>
    <t xml:space="preserve">BONOS REP.ARG. PARS YEN 2010-2038      </t>
  </si>
  <si>
    <t>ARARGE03G761</t>
  </si>
  <si>
    <t xml:space="preserve">BONOS REP.ARG.PARS SERIE B YENES        </t>
  </si>
  <si>
    <t xml:space="preserve">DICY </t>
  </si>
  <si>
    <t xml:space="preserve">DIY0 </t>
  </si>
  <si>
    <t xml:space="preserve">DIY5 </t>
  </si>
  <si>
    <t>XS0205545840</t>
  </si>
  <si>
    <t xml:space="preserve">DICE </t>
  </si>
  <si>
    <t>XS0501195134</t>
  </si>
  <si>
    <t xml:space="preserve">DIE0 </t>
  </si>
  <si>
    <t>XS0501195308</t>
  </si>
  <si>
    <t xml:space="preserve">DIE5 </t>
  </si>
  <si>
    <t>ARARGE03E667</t>
  </si>
  <si>
    <t xml:space="preserve">REP ARG C/DESCUENTO YEN  4,33 2033      </t>
  </si>
  <si>
    <t>ARARGE03G738</t>
  </si>
  <si>
    <t xml:space="preserve">BONOS REP.ARG. DISCOUNTS YEN 2010-33    </t>
  </si>
  <si>
    <t>ARARGE03G753</t>
  </si>
  <si>
    <t xml:space="preserve">BONOS REP.ARG.DISCOUNT SERIE B YENES    </t>
  </si>
  <si>
    <t xml:space="preserve">AA21 </t>
  </si>
  <si>
    <t>BONO REP.ARGENTINA 6,875% REG.S USD 2021</t>
  </si>
  <si>
    <t>US040114GX20</t>
  </si>
  <si>
    <t>US040114GS35</t>
  </si>
  <si>
    <t>USP04808AC88</t>
  </si>
  <si>
    <t xml:space="preserve">AA26 </t>
  </si>
  <si>
    <t xml:space="preserve">BONO REP. ARG 7,50% 144A USD 2026 F1    </t>
  </si>
  <si>
    <t xml:space="preserve">BONO REP.ARG. 7,50% REG.S USD 2026 F1   </t>
  </si>
  <si>
    <t>US040114GY03</t>
  </si>
  <si>
    <t>US040114GU80</t>
  </si>
  <si>
    <t>USP04808AE45</t>
  </si>
  <si>
    <t xml:space="preserve">AA46 </t>
  </si>
  <si>
    <t xml:space="preserve">BONO REP. ARG 7,625% 144A USD 2046 F1   </t>
  </si>
  <si>
    <t xml:space="preserve">BONO REP. ARG 7,625% REG.S USD 2046 F1  </t>
  </si>
  <si>
    <t>US040114HF05</t>
  </si>
  <si>
    <t>USP04808AJ32</t>
  </si>
  <si>
    <t xml:space="preserve">AL28 </t>
  </si>
  <si>
    <t xml:space="preserve">BONO REP ARGENTINA REGS 6,625% 06/07/28 </t>
  </si>
  <si>
    <t>US040114HG87</t>
  </si>
  <si>
    <t>US040114HE30</t>
  </si>
  <si>
    <t>USP04808AK05</t>
  </si>
  <si>
    <t xml:space="preserve">AL36 </t>
  </si>
  <si>
    <t>Argentina 7,125% 06/07/2036 Rule 144A</t>
  </si>
  <si>
    <t xml:space="preserve">BONO REP ARGENTINA REGS 7.125% 06/07/36 </t>
  </si>
  <si>
    <t>XS1503160225</t>
  </si>
  <si>
    <t xml:space="preserve">AE22 </t>
  </si>
  <si>
    <t>XS1503160498</t>
  </si>
  <si>
    <t xml:space="preserve">AE27 </t>
  </si>
  <si>
    <t xml:space="preserve">A2E2 </t>
  </si>
  <si>
    <t>BONO REP. ARGENTINA REGS 5,625% 26/01/22</t>
  </si>
  <si>
    <t>US040114HL72</t>
  </si>
  <si>
    <t>USP04808AM60</t>
  </si>
  <si>
    <t xml:space="preserve">A2E7 </t>
  </si>
  <si>
    <t xml:space="preserve">BONO REP ARG REGS 6,875% USD 26/01/27   </t>
  </si>
  <si>
    <t>CHF</t>
  </si>
  <si>
    <t>CH0361824458</t>
  </si>
  <si>
    <t xml:space="preserve">BONO ARGENTINA CHF 3,375% VTO. 12/10/20 </t>
  </si>
  <si>
    <t>US040114HM55</t>
  </si>
  <si>
    <t>USP04808AN44</t>
  </si>
  <si>
    <t>US040114HN39</t>
  </si>
  <si>
    <t xml:space="preserve">XC17 </t>
  </si>
  <si>
    <t xml:space="preserve">AC17 </t>
  </si>
  <si>
    <t>XS1715303340</t>
  </si>
  <si>
    <t xml:space="preserve">BONO REP.ARG.3,375% EURO 15/01/2023     </t>
  </si>
  <si>
    <t>XS1715303779</t>
  </si>
  <si>
    <t xml:space="preserve">AE28 </t>
  </si>
  <si>
    <t>XS1715535123</t>
  </si>
  <si>
    <t xml:space="preserve">AN47 </t>
  </si>
  <si>
    <t xml:space="preserve">A2E3 </t>
  </si>
  <si>
    <t>US040114HQ69</t>
  </si>
  <si>
    <t xml:space="preserve">A2E8 </t>
  </si>
  <si>
    <t>US040114HR43</t>
  </si>
  <si>
    <t xml:space="preserve">AE48 </t>
  </si>
  <si>
    <t>X2E2</t>
  </si>
  <si>
    <t>XA26</t>
  </si>
  <si>
    <t>XA21</t>
  </si>
  <si>
    <t>X2E7</t>
  </si>
  <si>
    <t>XL28</t>
  </si>
  <si>
    <t>XL36</t>
  </si>
  <si>
    <t>Especie</t>
  </si>
  <si>
    <t>Arg 7,125% 06/07/2036 Rule 144A</t>
  </si>
  <si>
    <t>XA46</t>
  </si>
  <si>
    <t>Arg 7,625% 22/04/2046 Rule 144A</t>
  </si>
  <si>
    <t>XC17</t>
  </si>
  <si>
    <t>AC17</t>
  </si>
  <si>
    <t>Tenencia actual</t>
  </si>
  <si>
    <t>VN nuevos bonos</t>
  </si>
  <si>
    <t>Cant de tenencia (VN)</t>
  </si>
  <si>
    <t>AA21</t>
  </si>
  <si>
    <t>A2E3</t>
  </si>
  <si>
    <t>Pago Dtado</t>
  </si>
  <si>
    <t>Ponderador</t>
  </si>
  <si>
    <t>Duration</t>
  </si>
  <si>
    <t>DM</t>
  </si>
  <si>
    <t>Fecha - HOY</t>
  </si>
  <si>
    <t>VIDA PROMEDIO</t>
  </si>
  <si>
    <t>V Promedio</t>
  </si>
  <si>
    <t>Precio $</t>
  </si>
  <si>
    <t>Precio USD</t>
  </si>
  <si>
    <t>Precio final</t>
  </si>
  <si>
    <t xml:space="preserve">DÓLAR </t>
  </si>
  <si>
    <t>Cotiz bono original</t>
  </si>
  <si>
    <t>Promedio DICY DIYO DIY5</t>
  </si>
  <si>
    <t>Promedio PARY PAY0 PAY5</t>
  </si>
  <si>
    <t>Promedio Bonos A</t>
  </si>
  <si>
    <t>Promedio Bonos A + AC17</t>
  </si>
  <si>
    <t>Precio promedio</t>
  </si>
  <si>
    <t>Exit yield</t>
  </si>
  <si>
    <t>Cotiz 17/4 USD</t>
  </si>
  <si>
    <t>A2E2</t>
  </si>
  <si>
    <t>A2E7</t>
  </si>
  <si>
    <t>A2E8</t>
  </si>
  <si>
    <t>EY 12%</t>
  </si>
  <si>
    <t>EY 10%</t>
  </si>
  <si>
    <t>EY 15%</t>
  </si>
  <si>
    <t>DIF EY 10%</t>
  </si>
  <si>
    <t>DIF EY 12%</t>
  </si>
  <si>
    <t>DIF EY 15%</t>
  </si>
  <si>
    <t>al 15/5/20</t>
  </si>
  <si>
    <t>al15/11/20</t>
  </si>
  <si>
    <t>EXIT YIELD</t>
  </si>
  <si>
    <t>Bono</t>
  </si>
  <si>
    <t>USD 2030</t>
  </si>
  <si>
    <t>USD 2036</t>
  </si>
  <si>
    <t>USD 2039</t>
  </si>
  <si>
    <t>USD 2043</t>
  </si>
  <si>
    <t>USD 2047</t>
  </si>
  <si>
    <t>Vto</t>
  </si>
  <si>
    <t>Precio Teorico</t>
  </si>
  <si>
    <t>VN</t>
  </si>
  <si>
    <t>Relac de canje C/100VN</t>
  </si>
  <si>
    <t>Convencion</t>
  </si>
  <si>
    <t>Actual/365</t>
  </si>
  <si>
    <t>30/360</t>
  </si>
  <si>
    <t>actual/365</t>
  </si>
  <si>
    <t>Fecha de calculo</t>
  </si>
  <si>
    <t>Descuento 30/360</t>
  </si>
  <si>
    <t>USO ESTO</t>
  </si>
  <si>
    <t>Valuacion</t>
  </si>
  <si>
    <t>Valuacion nueva posicion</t>
  </si>
  <si>
    <t>Variacion de posiciones</t>
  </si>
  <si>
    <t>Valor presente nuevo bono</t>
  </si>
  <si>
    <t>CELDAS A COMPLETAR POR EL USUARIO</t>
  </si>
  <si>
    <t>Convención para calculo de valor presente (VP)</t>
  </si>
  <si>
    <t>CALCULADORA DE OFERTA DE CANJE 17-04-20 PARA BONOS EN DÓLARES</t>
  </si>
  <si>
    <t>BONO USD 2030</t>
  </si>
  <si>
    <t>BONO USD 2036</t>
  </si>
  <si>
    <t>BONO USD 2039</t>
  </si>
  <si>
    <t>BONO USD 2043</t>
  </si>
  <si>
    <t>BONO USD 2047</t>
  </si>
  <si>
    <t>Ponderador actual/365</t>
  </si>
  <si>
    <t>Ponderador 30/360</t>
  </si>
  <si>
    <t>duration 30/360</t>
  </si>
  <si>
    <t>Duration actual/365</t>
  </si>
  <si>
    <t>Pago desc 30/360</t>
  </si>
  <si>
    <t>Pago Dtado actual/365</t>
  </si>
  <si>
    <t>Ponderador act/365</t>
  </si>
  <si>
    <t>ponderador 30/360</t>
  </si>
  <si>
    <t>DM act/365</t>
  </si>
  <si>
    <t>dm 30/360</t>
  </si>
  <si>
    <t>Duration act/365</t>
  </si>
  <si>
    <t>Duration 30/360</t>
  </si>
  <si>
    <t>Pago Desc 30/360</t>
  </si>
  <si>
    <t>DM 30/360</t>
  </si>
  <si>
    <t>VP /
Precio</t>
  </si>
  <si>
    <t>VP c/
100 VN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</si>
</sst>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  <numFmt numFmtId="174" formatCode="0.0000"/>
    <numFmt numFmtId="175" formatCode="0.000"/>
    <numFmt numFmtId="176" formatCode="_ * #,##0_ ;_ * \-#,##0_ ;_ * &quot;-&quot;??_ ;_ @_ "/>
    <numFmt numFmtId="177" formatCode="#,##0_ ;\-#,##0\ "/>
    <numFmt numFmtId="178" formatCode="_ * #,##0.0000_ ;_ * \-#,##0.0000_ ;_ * &quot;-&quot;??_ ;_ @_ "/>
    <numFmt numFmtId="179" formatCode="_ * #,##0.000_ ;_ * \-#,##0.000_ ;_ * &quot;-&quot;??_ ;_ @_ "/>
    <numFmt numFmtId="180" formatCode="_ * #,##0.000_ ;_ * \-#,##0.000_ ;_ * &quot;-&quot;???_ ;_ @_ "/>
    <numFmt numFmtId="181" formatCode="_ [$USD]\ * #,##0.00_ ;_ [$USD]\ * \-#,##0.00_ ;_ [$USD]\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  <font>
      <b/>
      <u val="single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thick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0" borderId="19" xfId="0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33" borderId="10" xfId="0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6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56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54" applyFont="1" applyFill="1" applyBorder="1" applyAlignment="1">
      <alignment horizontal="left" vertical="top"/>
      <protection/>
    </xf>
    <xf numFmtId="0" fontId="2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49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4" fontId="0" fillId="0" borderId="23" xfId="0" applyNumberFormat="1" applyBorder="1" applyAlignment="1" applyProtection="1">
      <alignment horizontal="center"/>
      <protection hidden="1"/>
    </xf>
    <xf numFmtId="175" fontId="0" fillId="0" borderId="16" xfId="0" applyNumberFormat="1" applyBorder="1" applyAlignment="1" applyProtection="1">
      <alignment/>
      <protection hidden="1"/>
    </xf>
    <xf numFmtId="175" fontId="0" fillId="0" borderId="24" xfId="0" applyNumberFormat="1" applyBorder="1" applyAlignment="1" applyProtection="1">
      <alignment/>
      <protection hidden="1"/>
    </xf>
    <xf numFmtId="173" fontId="0" fillId="0" borderId="18" xfId="56" applyNumberFormat="1" applyFont="1" applyBorder="1" applyAlignment="1" applyProtection="1">
      <alignment/>
      <protection hidden="1"/>
    </xf>
    <xf numFmtId="175" fontId="0" fillId="0" borderId="10" xfId="0" applyNumberFormat="1" applyBorder="1" applyAlignment="1" applyProtection="1">
      <alignment/>
      <protection hidden="1"/>
    </xf>
    <xf numFmtId="175" fontId="0" fillId="0" borderId="25" xfId="0" applyNumberFormat="1" applyBorder="1" applyAlignment="1" applyProtection="1">
      <alignment/>
      <protection hidden="1"/>
    </xf>
    <xf numFmtId="10" fontId="0" fillId="0" borderId="12" xfId="56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4" fontId="0" fillId="0" borderId="26" xfId="0" applyNumberFormat="1" applyBorder="1" applyAlignment="1" applyProtection="1">
      <alignment horizontal="center"/>
      <protection hidden="1"/>
    </xf>
    <xf numFmtId="173" fontId="0" fillId="0" borderId="12" xfId="56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4" fontId="0" fillId="0" borderId="27" xfId="0" applyNumberFormat="1" applyBorder="1" applyAlignment="1" applyProtection="1">
      <alignment horizontal="center"/>
      <protection hidden="1"/>
    </xf>
    <xf numFmtId="175" fontId="0" fillId="0" borderId="13" xfId="0" applyNumberFormat="1" applyBorder="1" applyAlignment="1" applyProtection="1">
      <alignment/>
      <protection hidden="1"/>
    </xf>
    <xf numFmtId="175" fontId="0" fillId="0" borderId="28" xfId="0" applyNumberFormat="1" applyBorder="1" applyAlignment="1" applyProtection="1">
      <alignment/>
      <protection hidden="1"/>
    </xf>
    <xf numFmtId="173" fontId="0" fillId="0" borderId="15" xfId="56" applyNumberFormat="1" applyFont="1" applyBorder="1" applyAlignment="1" applyProtection="1">
      <alignment/>
      <protection hidden="1"/>
    </xf>
    <xf numFmtId="10" fontId="0" fillId="0" borderId="15" xfId="56" applyNumberFormat="1" applyFont="1" applyBorder="1" applyAlignment="1" applyProtection="1">
      <alignment/>
      <protection hidden="1"/>
    </xf>
    <xf numFmtId="174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NumberFormat="1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10" fontId="0" fillId="0" borderId="30" xfId="0" applyNumberFormat="1" applyBorder="1" applyAlignment="1" applyProtection="1">
      <alignment/>
      <protection hidden="1"/>
    </xf>
    <xf numFmtId="10" fontId="0" fillId="0" borderId="31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0" fontId="0" fillId="0" borderId="11" xfId="0" applyNumberFormat="1" applyBorder="1" applyAlignment="1" applyProtection="1">
      <alignment/>
      <protection hidden="1"/>
    </xf>
    <xf numFmtId="43" fontId="0" fillId="0" borderId="12" xfId="49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0" fontId="0" fillId="0" borderId="14" xfId="0" applyNumberFormat="1" applyBorder="1" applyAlignment="1" applyProtection="1">
      <alignment/>
      <protection hidden="1"/>
    </xf>
    <xf numFmtId="14" fontId="0" fillId="0" borderId="15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1" fillId="0" borderId="0" xfId="0" applyFont="1" applyAlignment="1" applyProtection="1">
      <alignment/>
      <protection hidden="1"/>
    </xf>
    <xf numFmtId="0" fontId="0" fillId="6" borderId="19" xfId="0" applyFill="1" applyBorder="1" applyAlignment="1" applyProtection="1">
      <alignment horizontal="center" vertical="center" wrapText="1"/>
      <protection hidden="1"/>
    </xf>
    <xf numFmtId="14" fontId="0" fillId="0" borderId="16" xfId="0" applyNumberFormat="1" applyBorder="1" applyAlignment="1" applyProtection="1">
      <alignment/>
      <protection hidden="1"/>
    </xf>
    <xf numFmtId="14" fontId="0" fillId="0" borderId="17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0" fillId="0" borderId="10" xfId="0" applyNumberFormat="1" applyBorder="1" applyAlignment="1" applyProtection="1">
      <alignment/>
      <protection hidden="1"/>
    </xf>
    <xf numFmtId="176" fontId="0" fillId="0" borderId="11" xfId="49" applyNumberFormat="1" applyFont="1" applyBorder="1" applyAlignment="1" applyProtection="1">
      <alignment/>
      <protection hidden="1"/>
    </xf>
    <xf numFmtId="177" fontId="0" fillId="0" borderId="11" xfId="49" applyNumberFormat="1" applyFont="1" applyBorder="1" applyAlignment="1" applyProtection="1">
      <alignment/>
      <protection hidden="1"/>
    </xf>
    <xf numFmtId="9" fontId="0" fillId="0" borderId="11" xfId="0" applyNumberFormat="1" applyBorder="1" applyAlignment="1" applyProtection="1">
      <alignment/>
      <protection hidden="1"/>
    </xf>
    <xf numFmtId="14" fontId="0" fillId="0" borderId="13" xfId="0" applyNumberFormat="1" applyBorder="1" applyAlignment="1" applyProtection="1">
      <alignment/>
      <protection hidden="1"/>
    </xf>
    <xf numFmtId="176" fontId="0" fillId="0" borderId="14" xfId="49" applyNumberFormat="1" applyFont="1" applyBorder="1" applyAlignment="1" applyProtection="1">
      <alignment/>
      <protection hidden="1"/>
    </xf>
    <xf numFmtId="177" fontId="0" fillId="0" borderId="14" xfId="49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81" fontId="0" fillId="0" borderId="12" xfId="51" applyNumberFormat="1" applyFont="1" applyBorder="1" applyAlignment="1" applyProtection="1">
      <alignment/>
      <protection hidden="1"/>
    </xf>
    <xf numFmtId="0" fontId="0" fillId="6" borderId="32" xfId="0" applyFill="1" applyBorder="1" applyAlignment="1" applyProtection="1">
      <alignment horizontal="center" vertical="center" wrapText="1"/>
      <protection hidden="1"/>
    </xf>
    <xf numFmtId="43" fontId="0" fillId="0" borderId="12" xfId="0" applyNumberForma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176" fontId="0" fillId="0" borderId="33" xfId="0" applyNumberFormat="1" applyBorder="1" applyAlignment="1" applyProtection="1">
      <alignment/>
      <protection hidden="1"/>
    </xf>
    <xf numFmtId="178" fontId="0" fillId="0" borderId="11" xfId="0" applyNumberFormat="1" applyBorder="1" applyAlignment="1" applyProtection="1">
      <alignment/>
      <protection hidden="1"/>
    </xf>
    <xf numFmtId="43" fontId="0" fillId="0" borderId="11" xfId="0" applyNumberFormat="1" applyBorder="1" applyAlignment="1" applyProtection="1">
      <alignment/>
      <protection hidden="1"/>
    </xf>
    <xf numFmtId="179" fontId="0" fillId="0" borderId="11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176" fontId="0" fillId="0" borderId="34" xfId="0" applyNumberFormat="1" applyBorder="1" applyAlignment="1" applyProtection="1">
      <alignment/>
      <protection hidden="1"/>
    </xf>
    <xf numFmtId="178" fontId="0" fillId="0" borderId="14" xfId="0" applyNumberFormat="1" applyBorder="1" applyAlignment="1" applyProtection="1">
      <alignment/>
      <protection hidden="1"/>
    </xf>
    <xf numFmtId="43" fontId="0" fillId="0" borderId="14" xfId="0" applyNumberFormat="1" applyBorder="1" applyAlignment="1" applyProtection="1">
      <alignment/>
      <protection hidden="1"/>
    </xf>
    <xf numFmtId="179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44" fontId="0" fillId="0" borderId="35" xfId="51" applyFont="1" applyFill="1" applyBorder="1" applyAlignment="1" applyProtection="1">
      <alignment/>
      <protection hidden="1"/>
    </xf>
    <xf numFmtId="0" fontId="0" fillId="0" borderId="36" xfId="0" applyNumberFormat="1" applyBorder="1" applyAlignment="1" applyProtection="1">
      <alignment/>
      <protection hidden="1"/>
    </xf>
    <xf numFmtId="178" fontId="0" fillId="33" borderId="37" xfId="0" applyNumberFormat="1" applyFill="1" applyBorder="1" applyAlignment="1" applyProtection="1">
      <alignment/>
      <protection hidden="1"/>
    </xf>
    <xf numFmtId="179" fontId="0" fillId="0" borderId="37" xfId="0" applyNumberFormat="1" applyBorder="1" applyAlignment="1" applyProtection="1">
      <alignment/>
      <protection hidden="1"/>
    </xf>
    <xf numFmtId="180" fontId="49" fillId="0" borderId="37" xfId="0" applyNumberFormat="1" applyFont="1" applyBorder="1" applyAlignment="1" applyProtection="1">
      <alignment/>
      <protection hidden="1"/>
    </xf>
    <xf numFmtId="0" fontId="49" fillId="0" borderId="38" xfId="0" applyFont="1" applyBorder="1" applyAlignment="1" applyProtection="1">
      <alignment/>
      <protection hidden="1"/>
    </xf>
    <xf numFmtId="0" fontId="49" fillId="0" borderId="39" xfId="0" applyFont="1" applyBorder="1" applyAlignment="1" applyProtection="1">
      <alignment/>
      <protection hidden="1"/>
    </xf>
    <xf numFmtId="43" fontId="49" fillId="0" borderId="40" xfId="0" applyNumberFormat="1" applyFont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80" fontId="0" fillId="0" borderId="12" xfId="0" applyNumberFormat="1" applyBorder="1" applyAlignment="1" applyProtection="1">
      <alignment/>
      <protection hidden="1"/>
    </xf>
    <xf numFmtId="179" fontId="0" fillId="0" borderId="12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4" fontId="0" fillId="0" borderId="29" xfId="0" applyNumberFormat="1" applyBorder="1" applyAlignment="1" applyProtection="1">
      <alignment/>
      <protection hidden="1"/>
    </xf>
    <xf numFmtId="14" fontId="0" fillId="0" borderId="30" xfId="0" applyNumberForma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74" fontId="0" fillId="0" borderId="11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172" fontId="0" fillId="0" borderId="11" xfId="0" applyNumberFormat="1" applyBorder="1" applyAlignment="1" applyProtection="1">
      <alignment/>
      <protection hidden="1"/>
    </xf>
    <xf numFmtId="172" fontId="0" fillId="0" borderId="11" xfId="56" applyNumberFormat="1" applyFont="1" applyBorder="1" applyAlignment="1" applyProtection="1">
      <alignment/>
      <protection hidden="1"/>
    </xf>
    <xf numFmtId="2" fontId="0" fillId="0" borderId="14" xfId="51" applyNumberFormat="1" applyFont="1" applyBorder="1" applyAlignment="1" applyProtection="1">
      <alignment/>
      <protection hidden="1"/>
    </xf>
    <xf numFmtId="174" fontId="0" fillId="0" borderId="27" xfId="51" applyNumberFormat="1" applyFont="1" applyBorder="1" applyAlignment="1" applyProtection="1">
      <alignment/>
      <protection hidden="1"/>
    </xf>
    <xf numFmtId="2" fontId="0" fillId="0" borderId="15" xfId="51" applyNumberFormat="1" applyFont="1" applyBorder="1" applyAlignment="1" applyProtection="1">
      <alignment/>
      <protection hidden="1"/>
    </xf>
    <xf numFmtId="44" fontId="0" fillId="0" borderId="19" xfId="51" applyFont="1" applyFill="1" applyBorder="1" applyAlignment="1" applyProtection="1">
      <alignment/>
      <protection hidden="1"/>
    </xf>
    <xf numFmtId="178" fontId="0" fillId="0" borderId="37" xfId="0" applyNumberFormat="1" applyBorder="1" applyAlignment="1" applyProtection="1">
      <alignment/>
      <protection hidden="1"/>
    </xf>
    <xf numFmtId="179" fontId="49" fillId="0" borderId="38" xfId="0" applyNumberFormat="1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right"/>
      <protection hidden="1"/>
    </xf>
    <xf numFmtId="181" fontId="0" fillId="0" borderId="12" xfId="51" applyNumberFormat="1" applyFont="1" applyBorder="1" applyAlignment="1" applyProtection="1">
      <alignment horizontal="right"/>
      <protection hidden="1"/>
    </xf>
    <xf numFmtId="10" fontId="0" fillId="0" borderId="15" xfId="56" applyNumberFormat="1" applyFont="1" applyBorder="1" applyAlignment="1" applyProtection="1">
      <alignment horizontal="right"/>
      <protection hidden="1"/>
    </xf>
    <xf numFmtId="0" fontId="51" fillId="0" borderId="0" xfId="0" applyFont="1" applyFill="1" applyBorder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175" fontId="0" fillId="0" borderId="11" xfId="0" applyNumberFormat="1" applyBorder="1" applyAlignment="1" applyProtection="1">
      <alignment/>
      <protection hidden="1"/>
    </xf>
    <xf numFmtId="175" fontId="0" fillId="0" borderId="12" xfId="0" applyNumberFormat="1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43" fontId="0" fillId="0" borderId="11" xfId="49" applyFont="1" applyBorder="1" applyAlignment="1" applyProtection="1">
      <alignment/>
      <protection hidden="1"/>
    </xf>
    <xf numFmtId="49" fontId="0" fillId="0" borderId="12" xfId="0" applyNumberFormat="1" applyBorder="1" applyAlignment="1" applyProtection="1">
      <alignment horizontal="right"/>
      <protection hidden="1"/>
    </xf>
    <xf numFmtId="175" fontId="0" fillId="0" borderId="31" xfId="0" applyNumberForma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14" fontId="0" fillId="0" borderId="44" xfId="0" applyNumberFormat="1" applyBorder="1" applyAlignment="1" applyProtection="1">
      <alignment/>
      <protection hidden="1"/>
    </xf>
    <xf numFmtId="10" fontId="0" fillId="0" borderId="45" xfId="0" applyNumberFormat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2" fontId="0" fillId="0" borderId="47" xfId="0" applyNumberFormat="1" applyBorder="1" applyAlignment="1" applyProtection="1">
      <alignment/>
      <protection hidden="1"/>
    </xf>
    <xf numFmtId="0" fontId="52" fillId="0" borderId="46" xfId="0" applyFont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9" fontId="0" fillId="0" borderId="0" xfId="0" applyNumberFormat="1" applyBorder="1" applyAlignment="1" applyProtection="1">
      <alignment/>
      <protection hidden="1"/>
    </xf>
    <xf numFmtId="9" fontId="0" fillId="0" borderId="45" xfId="0" applyNumberFormat="1" applyBorder="1" applyAlignment="1" applyProtection="1">
      <alignment/>
      <protection hidden="1"/>
    </xf>
    <xf numFmtId="172" fontId="0" fillId="0" borderId="45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14" fontId="0" fillId="0" borderId="49" xfId="0" applyNumberFormat="1" applyBorder="1" applyAlignment="1" applyProtection="1">
      <alignment/>
      <protection hidden="1"/>
    </xf>
    <xf numFmtId="9" fontId="0" fillId="0" borderId="49" xfId="0" applyNumberFormat="1" applyBorder="1" applyAlignment="1" applyProtection="1">
      <alignment/>
      <protection hidden="1"/>
    </xf>
    <xf numFmtId="2" fontId="0" fillId="0" borderId="5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172" fontId="0" fillId="0" borderId="45" xfId="56" applyNumberFormat="1" applyFon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10" fontId="0" fillId="0" borderId="49" xfId="0" applyNumberFormat="1" applyBorder="1" applyAlignment="1" applyProtection="1">
      <alignment/>
      <protection hidden="1"/>
    </xf>
    <xf numFmtId="0" fontId="51" fillId="0" borderId="43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14" fontId="0" fillId="0" borderId="51" xfId="0" applyNumberFormat="1" applyBorder="1" applyAlignment="1" applyProtection="1">
      <alignment/>
      <protection hidden="1"/>
    </xf>
    <xf numFmtId="10" fontId="0" fillId="0" borderId="38" xfId="0" applyNumberFormat="1" applyBorder="1" applyAlignment="1" applyProtection="1">
      <alignment/>
      <protection hidden="1"/>
    </xf>
    <xf numFmtId="172" fontId="0" fillId="0" borderId="14" xfId="0" applyNumberFormat="1" applyBorder="1" applyAlignment="1" applyProtection="1">
      <alignment/>
      <protection hidden="1"/>
    </xf>
    <xf numFmtId="10" fontId="0" fillId="0" borderId="11" xfId="56" applyNumberFormat="1" applyFont="1" applyBorder="1" applyAlignment="1" applyProtection="1">
      <alignment/>
      <protection hidden="1"/>
    </xf>
    <xf numFmtId="175" fontId="0" fillId="0" borderId="27" xfId="51" applyNumberFormat="1" applyFont="1" applyBorder="1" applyAlignment="1" applyProtection="1">
      <alignment/>
      <protection hidden="1"/>
    </xf>
    <xf numFmtId="175" fontId="0" fillId="0" borderId="15" xfId="51" applyNumberFormat="1" applyFont="1" applyBorder="1" applyAlignment="1" applyProtection="1">
      <alignment/>
      <protection hidden="1"/>
    </xf>
    <xf numFmtId="175" fontId="0" fillId="0" borderId="14" xfId="51" applyNumberFormat="1" applyFont="1" applyBorder="1" applyAlignment="1" applyProtection="1">
      <alignment/>
      <protection hidden="1"/>
    </xf>
    <xf numFmtId="174" fontId="0" fillId="0" borderId="15" xfId="51" applyNumberFormat="1" applyFont="1" applyBorder="1" applyAlignment="1" applyProtection="1">
      <alignment/>
      <protection hidden="1"/>
    </xf>
    <xf numFmtId="0" fontId="0" fillId="0" borderId="52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34" fillId="34" borderId="19" xfId="0" applyFont="1" applyFill="1" applyBorder="1" applyAlignment="1" applyProtection="1">
      <alignment horizontal="center" vertical="center" wrapText="1"/>
      <protection hidden="1"/>
    </xf>
    <xf numFmtId="0" fontId="34" fillId="34" borderId="20" xfId="0" applyFont="1" applyFill="1" applyBorder="1" applyAlignment="1" applyProtection="1">
      <alignment horizontal="center" vertical="center" wrapText="1"/>
      <protection hidden="1"/>
    </xf>
    <xf numFmtId="0" fontId="34" fillId="34" borderId="53" xfId="0" applyFont="1" applyFill="1" applyBorder="1" applyAlignment="1" applyProtection="1">
      <alignment horizontal="center" vertical="center" wrapText="1"/>
      <protection hidden="1"/>
    </xf>
    <xf numFmtId="0" fontId="34" fillId="34" borderId="22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/>
      <protection hidden="1"/>
    </xf>
    <xf numFmtId="0" fontId="34" fillId="0" borderId="54" xfId="0" applyFont="1" applyBorder="1" applyAlignment="1" applyProtection="1">
      <alignment horizontal="center"/>
      <protection hidden="1"/>
    </xf>
    <xf numFmtId="1" fontId="31" fillId="0" borderId="0" xfId="0" applyNumberFormat="1" applyFont="1" applyAlignment="1" applyProtection="1">
      <alignment/>
      <protection hidden="1"/>
    </xf>
    <xf numFmtId="0" fontId="31" fillId="0" borderId="35" xfId="0" applyFont="1" applyBorder="1" applyAlignment="1" applyProtection="1">
      <alignment/>
      <protection hidden="1"/>
    </xf>
    <xf numFmtId="0" fontId="34" fillId="34" borderId="55" xfId="0" applyFont="1" applyFill="1" applyBorder="1" applyAlignment="1" applyProtection="1">
      <alignment horizontal="center"/>
      <protection hidden="1"/>
    </xf>
    <xf numFmtId="43" fontId="49" fillId="0" borderId="0" xfId="0" applyNumberFormat="1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9" fontId="0" fillId="0" borderId="26" xfId="0" applyNumberFormat="1" applyBorder="1" applyAlignment="1" applyProtection="1">
      <alignment/>
      <protection hidden="1"/>
    </xf>
    <xf numFmtId="179" fontId="0" fillId="0" borderId="27" xfId="0" applyNumberFormat="1" applyBorder="1" applyAlignment="1" applyProtection="1">
      <alignment/>
      <protection hidden="1"/>
    </xf>
    <xf numFmtId="179" fontId="0" fillId="0" borderId="12" xfId="49" applyNumberFormat="1" applyFont="1" applyBorder="1" applyAlignment="1" applyProtection="1">
      <alignment/>
      <protection hidden="1"/>
    </xf>
    <xf numFmtId="0" fontId="0" fillId="35" borderId="31" xfId="0" applyFill="1" applyBorder="1" applyAlignment="1" applyProtection="1">
      <alignment horizontal="right"/>
      <protection locked="0"/>
    </xf>
    <xf numFmtId="0" fontId="0" fillId="35" borderId="12" xfId="0" applyFill="1" applyBorder="1" applyAlignment="1" applyProtection="1">
      <alignment/>
      <protection locked="0"/>
    </xf>
    <xf numFmtId="0" fontId="31" fillId="34" borderId="19" xfId="0" applyFont="1" applyFill="1" applyBorder="1" applyAlignment="1" applyProtection="1">
      <alignment horizontal="center" vertical="center" wrapText="1"/>
      <protection hidden="1"/>
    </xf>
    <xf numFmtId="0" fontId="31" fillId="34" borderId="55" xfId="0" applyFont="1" applyFill="1" applyBorder="1" applyAlignment="1" applyProtection="1">
      <alignment horizontal="center" vertical="center" wrapText="1"/>
      <protection hidden="1"/>
    </xf>
    <xf numFmtId="2" fontId="0" fillId="0" borderId="11" xfId="51" applyNumberFormat="1" applyFont="1" applyBorder="1" applyAlignment="1" applyProtection="1">
      <alignment/>
      <protection hidden="1"/>
    </xf>
    <xf numFmtId="2" fontId="0" fillId="0" borderId="26" xfId="51" applyNumberFormat="1" applyFont="1" applyBorder="1" applyAlignment="1" applyProtection="1">
      <alignment/>
      <protection hidden="1"/>
    </xf>
    <xf numFmtId="2" fontId="0" fillId="0" borderId="12" xfId="51" applyNumberFormat="1" applyFont="1" applyBorder="1" applyAlignment="1" applyProtection="1">
      <alignment/>
      <protection hidden="1"/>
    </xf>
    <xf numFmtId="2" fontId="0" fillId="0" borderId="27" xfId="51" applyNumberFormat="1" applyFont="1" applyBorder="1" applyAlignment="1" applyProtection="1">
      <alignment/>
      <protection hidden="1"/>
    </xf>
    <xf numFmtId="2" fontId="0" fillId="0" borderId="35" xfId="51" applyNumberFormat="1" applyFont="1" applyFill="1" applyBorder="1" applyAlignment="1" applyProtection="1">
      <alignment/>
      <protection hidden="1"/>
    </xf>
    <xf numFmtId="0" fontId="49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35" borderId="12" xfId="0" applyFill="1" applyBorder="1" applyAlignment="1" applyProtection="1">
      <alignment horizontal="right"/>
      <protection locked="0"/>
    </xf>
    <xf numFmtId="0" fontId="31" fillId="34" borderId="32" xfId="0" applyFont="1" applyFill="1" applyBorder="1" applyAlignment="1" applyProtection="1">
      <alignment horizontal="center" vertical="center" wrapText="1"/>
      <protection hidden="1"/>
    </xf>
    <xf numFmtId="49" fontId="0" fillId="35" borderId="31" xfId="0" applyNumberFormat="1" applyFill="1" applyBorder="1" applyAlignment="1" applyProtection="1">
      <alignment horizontal="right"/>
      <protection locked="0"/>
    </xf>
    <xf numFmtId="2" fontId="0" fillId="35" borderId="58" xfId="0" applyNumberFormat="1" applyFill="1" applyBorder="1" applyAlignment="1" applyProtection="1">
      <alignment horizontal="center"/>
      <protection locked="0"/>
    </xf>
    <xf numFmtId="2" fontId="0" fillId="35" borderId="59" xfId="0" applyNumberFormat="1" applyFill="1" applyBorder="1" applyAlignment="1" applyProtection="1">
      <alignment horizontal="center"/>
      <protection locked="0"/>
    </xf>
    <xf numFmtId="2" fontId="0" fillId="35" borderId="60" xfId="0" applyNumberFormat="1" applyFill="1" applyBorder="1" applyAlignment="1" applyProtection="1">
      <alignment horizontal="center"/>
      <protection locked="0"/>
    </xf>
    <xf numFmtId="173" fontId="34" fillId="35" borderId="32" xfId="0" applyNumberFormat="1" applyFont="1" applyFill="1" applyBorder="1" applyAlignment="1" applyProtection="1">
      <alignment horizontal="center" vertical="center"/>
      <protection locked="0"/>
    </xf>
    <xf numFmtId="14" fontId="34" fillId="35" borderId="32" xfId="0" applyNumberFormat="1" applyFont="1" applyFill="1" applyBorder="1" applyAlignment="1" applyProtection="1">
      <alignment horizontal="center" vertical="center"/>
      <protection locked="0"/>
    </xf>
    <xf numFmtId="173" fontId="34" fillId="35" borderId="32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Alignment="1" applyProtection="1">
      <alignment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0" fontId="34" fillId="35" borderId="61" xfId="0" applyFont="1" applyFill="1" applyBorder="1" applyAlignment="1" applyProtection="1">
      <alignment horizontal="center" vertical="center"/>
      <protection hidden="1"/>
    </xf>
    <xf numFmtId="0" fontId="34" fillId="35" borderId="48" xfId="0" applyFont="1" applyFill="1" applyBorder="1" applyAlignment="1" applyProtection="1">
      <alignment horizontal="center" vertical="center"/>
      <protection hidden="1"/>
    </xf>
    <xf numFmtId="0" fontId="34" fillId="35" borderId="50" xfId="0" applyFont="1" applyFill="1" applyBorder="1" applyAlignment="1" applyProtection="1">
      <alignment horizontal="center" vertical="center"/>
      <protection hidden="1"/>
    </xf>
    <xf numFmtId="0" fontId="53" fillId="34" borderId="46" xfId="0" applyFont="1" applyFill="1" applyBorder="1" applyAlignment="1" applyProtection="1">
      <alignment horizontal="center" vertical="center"/>
      <protection hidden="1"/>
    </xf>
    <xf numFmtId="0" fontId="53" fillId="34" borderId="0" xfId="0" applyFont="1" applyFill="1" applyAlignment="1" applyProtection="1">
      <alignment horizontal="center" vertical="center"/>
      <protection hidden="1"/>
    </xf>
    <xf numFmtId="0" fontId="54" fillId="34" borderId="19" xfId="0" applyFont="1" applyFill="1" applyBorder="1" applyAlignment="1" applyProtection="1">
      <alignment horizontal="center" vertical="top"/>
      <protection hidden="1"/>
    </xf>
    <xf numFmtId="0" fontId="34" fillId="34" borderId="55" xfId="0" applyFont="1" applyFill="1" applyBorder="1" applyAlignment="1" applyProtection="1">
      <alignment horizontal="center" vertical="center"/>
      <protection hidden="1"/>
    </xf>
    <xf numFmtId="0" fontId="34" fillId="34" borderId="32" xfId="0" applyFont="1" applyFill="1" applyBorder="1" applyAlignment="1" applyProtection="1">
      <alignment horizontal="center" vertical="center"/>
      <protection hidden="1"/>
    </xf>
    <xf numFmtId="0" fontId="34" fillId="34" borderId="48" xfId="0" applyFont="1" applyFill="1" applyBorder="1" applyAlignment="1" applyProtection="1">
      <alignment horizontal="center" vertical="center" wrapText="1"/>
      <protection hidden="1"/>
    </xf>
    <xf numFmtId="0" fontId="34" fillId="34" borderId="50" xfId="0" applyFont="1" applyFill="1" applyBorder="1" applyAlignment="1" applyProtection="1">
      <alignment horizontal="center" vertical="center" wrapText="1"/>
      <protection hidden="1"/>
    </xf>
    <xf numFmtId="0" fontId="0" fillId="35" borderId="62" xfId="0" applyFill="1" applyBorder="1" applyAlignment="1" applyProtection="1">
      <alignment horizontal="center" vertical="center" wrapText="1"/>
      <protection hidden="1"/>
    </xf>
    <xf numFmtId="0" fontId="0" fillId="35" borderId="63" xfId="0" applyFill="1" applyBorder="1" applyAlignment="1" applyProtection="1">
      <alignment horizontal="center" vertical="center" wrapText="1"/>
      <protection hidden="1"/>
    </xf>
    <xf numFmtId="0" fontId="0" fillId="35" borderId="23" xfId="0" applyFill="1" applyBorder="1" applyAlignment="1" applyProtection="1">
      <alignment horizontal="center" vertical="center" wrapText="1"/>
      <protection hidden="1"/>
    </xf>
    <xf numFmtId="0" fontId="0" fillId="35" borderId="64" xfId="0" applyFill="1" applyBorder="1" applyAlignment="1" applyProtection="1">
      <alignment horizontal="center" vertical="center" wrapText="1"/>
      <protection hidden="1"/>
    </xf>
    <xf numFmtId="0" fontId="55" fillId="34" borderId="55" xfId="0" applyFont="1" applyFill="1" applyBorder="1" applyAlignment="1" applyProtection="1">
      <alignment horizontal="center" vertical="center"/>
      <protection hidden="1"/>
    </xf>
    <xf numFmtId="0" fontId="55" fillId="34" borderId="53" xfId="0" applyFont="1" applyFill="1" applyBorder="1" applyAlignment="1" applyProtection="1">
      <alignment horizontal="center" vertical="center"/>
      <protection hidden="1"/>
    </xf>
    <xf numFmtId="0" fontId="55" fillId="34" borderId="32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66" xfId="0" applyBorder="1" applyAlignment="1" applyProtection="1">
      <alignment horizontal="left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35" borderId="62" xfId="0" applyFill="1" applyBorder="1" applyAlignment="1" applyProtection="1">
      <alignment horizontal="center" wrapText="1"/>
      <protection hidden="1"/>
    </xf>
    <xf numFmtId="0" fontId="0" fillId="35" borderId="63" xfId="0" applyFill="1" applyBorder="1" applyAlignment="1" applyProtection="1">
      <alignment horizontal="center" wrapText="1"/>
      <protection hidden="1"/>
    </xf>
    <xf numFmtId="0" fontId="0" fillId="35" borderId="23" xfId="0" applyFill="1" applyBorder="1" applyAlignment="1" applyProtection="1">
      <alignment horizontal="center" wrapText="1"/>
      <protection hidden="1"/>
    </xf>
    <xf numFmtId="0" fontId="0" fillId="35" borderId="64" xfId="0" applyFill="1" applyBorder="1" applyAlignment="1" applyProtection="1">
      <alignment horizontal="center" wrapText="1"/>
      <protection hidden="1"/>
    </xf>
    <xf numFmtId="0" fontId="55" fillId="34" borderId="55" xfId="0" applyFont="1" applyFill="1" applyBorder="1" applyAlignment="1" applyProtection="1">
      <alignment horizontal="center"/>
      <protection hidden="1"/>
    </xf>
    <xf numFmtId="0" fontId="55" fillId="34" borderId="53" xfId="0" applyFont="1" applyFill="1" applyBorder="1" applyAlignment="1" applyProtection="1">
      <alignment horizontal="center"/>
      <protection hidden="1"/>
    </xf>
    <xf numFmtId="0" fontId="55" fillId="34" borderId="3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35" borderId="0" xfId="0" applyFill="1" applyAlignment="1" applyProtection="1">
      <alignment horizontal="center" wrapText="1"/>
      <protection hidden="1"/>
    </xf>
    <xf numFmtId="0" fontId="51" fillId="0" borderId="43" xfId="0" applyFont="1" applyBorder="1" applyAlignment="1" applyProtection="1">
      <alignment horizontal="center"/>
      <protection hidden="1"/>
    </xf>
    <xf numFmtId="0" fontId="51" fillId="0" borderId="61" xfId="0" applyFont="1" applyBorder="1" applyAlignment="1" applyProtection="1">
      <alignment horizontal="center"/>
      <protection hidden="1"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228600</xdr:rowOff>
    </xdr:from>
    <xdr:to>
      <xdr:col>6</xdr:col>
      <xdr:colOff>504825</xdr:colOff>
      <xdr:row>4</xdr:row>
      <xdr:rowOff>485775</xdr:rowOff>
    </xdr:to>
    <xdr:sp macro="[0]!bono2030">
      <xdr:nvSpPr>
        <xdr:cNvPr id="1" name="Rectángulo redondeado 1"/>
        <xdr:cNvSpPr>
          <a:spLocks/>
        </xdr:cNvSpPr>
      </xdr:nvSpPr>
      <xdr:spPr>
        <a:xfrm>
          <a:off x="4067175" y="885825"/>
          <a:ext cx="1905000" cy="257175"/>
        </a:xfrm>
        <a:prstGeom prst="roundRect">
          <a:avLst/>
        </a:prstGeom>
        <a:solidFill>
          <a:srgbClr val="00206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al flujo de fondos USD 2030</a:t>
          </a:r>
        </a:p>
      </xdr:txBody>
    </xdr:sp>
    <xdr:clientData/>
  </xdr:twoCellAnchor>
  <xdr:twoCellAnchor>
    <xdr:from>
      <xdr:col>7</xdr:col>
      <xdr:colOff>133350</xdr:colOff>
      <xdr:row>4</xdr:row>
      <xdr:rowOff>238125</xdr:rowOff>
    </xdr:from>
    <xdr:to>
      <xdr:col>9</xdr:col>
      <xdr:colOff>466725</xdr:colOff>
      <xdr:row>4</xdr:row>
      <xdr:rowOff>476250</xdr:rowOff>
    </xdr:to>
    <xdr:sp macro="[0]!BONO2036">
      <xdr:nvSpPr>
        <xdr:cNvPr id="2" name="Rectángulo redondeado 2"/>
        <xdr:cNvSpPr>
          <a:spLocks/>
        </xdr:cNvSpPr>
      </xdr:nvSpPr>
      <xdr:spPr>
        <a:xfrm>
          <a:off x="6229350" y="895350"/>
          <a:ext cx="1895475" cy="238125"/>
        </a:xfrm>
        <a:prstGeom prst="roundRect">
          <a:avLst/>
        </a:prstGeom>
        <a:solidFill>
          <a:srgbClr val="00206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al flujo de fondos USD 2036</a:t>
          </a:r>
        </a:p>
      </xdr:txBody>
    </xdr:sp>
    <xdr:clientData/>
  </xdr:twoCellAnchor>
  <xdr:twoCellAnchor>
    <xdr:from>
      <xdr:col>10</xdr:col>
      <xdr:colOff>123825</xdr:colOff>
      <xdr:row>4</xdr:row>
      <xdr:rowOff>247650</xdr:rowOff>
    </xdr:from>
    <xdr:to>
      <xdr:col>12</xdr:col>
      <xdr:colOff>476250</xdr:colOff>
      <xdr:row>4</xdr:row>
      <xdr:rowOff>476250</xdr:rowOff>
    </xdr:to>
    <xdr:sp macro="[0]!BONO2039">
      <xdr:nvSpPr>
        <xdr:cNvPr id="3" name="Rectángulo redondeado 3"/>
        <xdr:cNvSpPr>
          <a:spLocks/>
        </xdr:cNvSpPr>
      </xdr:nvSpPr>
      <xdr:spPr>
        <a:xfrm>
          <a:off x="8382000" y="904875"/>
          <a:ext cx="1914525" cy="228600"/>
        </a:xfrm>
        <a:prstGeom prst="roundRect">
          <a:avLst/>
        </a:prstGeom>
        <a:solidFill>
          <a:srgbClr val="00206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al flujo de fondos USD 2039</a:t>
          </a:r>
        </a:p>
      </xdr:txBody>
    </xdr:sp>
    <xdr:clientData/>
  </xdr:twoCellAnchor>
  <xdr:twoCellAnchor>
    <xdr:from>
      <xdr:col>13</xdr:col>
      <xdr:colOff>152400</xdr:colOff>
      <xdr:row>4</xdr:row>
      <xdr:rowOff>257175</xdr:rowOff>
    </xdr:from>
    <xdr:to>
      <xdr:col>15</xdr:col>
      <xdr:colOff>504825</xdr:colOff>
      <xdr:row>4</xdr:row>
      <xdr:rowOff>476250</xdr:rowOff>
    </xdr:to>
    <xdr:sp macro="[0]!BONO2043">
      <xdr:nvSpPr>
        <xdr:cNvPr id="4" name="Rectángulo redondeado 4"/>
        <xdr:cNvSpPr>
          <a:spLocks/>
        </xdr:cNvSpPr>
      </xdr:nvSpPr>
      <xdr:spPr>
        <a:xfrm>
          <a:off x="10553700" y="914400"/>
          <a:ext cx="1914525" cy="219075"/>
        </a:xfrm>
        <a:prstGeom prst="roundRect">
          <a:avLst/>
        </a:prstGeom>
        <a:solidFill>
          <a:srgbClr val="00206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al flujo de fondos USD 2043</a:t>
          </a:r>
        </a:p>
      </xdr:txBody>
    </xdr:sp>
    <xdr:clientData/>
  </xdr:twoCellAnchor>
  <xdr:twoCellAnchor>
    <xdr:from>
      <xdr:col>16</xdr:col>
      <xdr:colOff>152400</xdr:colOff>
      <xdr:row>4</xdr:row>
      <xdr:rowOff>266700</xdr:rowOff>
    </xdr:from>
    <xdr:to>
      <xdr:col>18</xdr:col>
      <xdr:colOff>504825</xdr:colOff>
      <xdr:row>4</xdr:row>
      <xdr:rowOff>466725</xdr:rowOff>
    </xdr:to>
    <xdr:sp macro="[0]!BONO2047">
      <xdr:nvSpPr>
        <xdr:cNvPr id="5" name="Rectángulo redondeado 5"/>
        <xdr:cNvSpPr>
          <a:spLocks/>
        </xdr:cNvSpPr>
      </xdr:nvSpPr>
      <xdr:spPr>
        <a:xfrm>
          <a:off x="12734925" y="923925"/>
          <a:ext cx="1914525" cy="200025"/>
        </a:xfrm>
        <a:prstGeom prst="roundRect">
          <a:avLst/>
        </a:prstGeom>
        <a:solidFill>
          <a:srgbClr val="00206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al flujo de fondos USD 2047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1476375</xdr:colOff>
      <xdr:row>4</xdr:row>
      <xdr:rowOff>381000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2</xdr:row>
      <xdr:rowOff>142875</xdr:rowOff>
    </xdr:from>
    <xdr:to>
      <xdr:col>27</xdr:col>
      <xdr:colOff>714375</xdr:colOff>
      <xdr:row>5</xdr:row>
      <xdr:rowOff>57150</xdr:rowOff>
    </xdr:to>
    <xdr:sp macro="[0]!VOLVER1">
      <xdr:nvSpPr>
        <xdr:cNvPr id="1" name="Elipse 1"/>
        <xdr:cNvSpPr>
          <a:spLocks/>
        </xdr:cNvSpPr>
      </xdr:nvSpPr>
      <xdr:spPr>
        <a:xfrm>
          <a:off x="6200775" y="552450"/>
          <a:ext cx="1076325" cy="485775"/>
        </a:xfrm>
        <a:prstGeom prst="ellipse">
          <a:avLst/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2</xdr:row>
      <xdr:rowOff>38100</xdr:rowOff>
    </xdr:from>
    <xdr:to>
      <xdr:col>19</xdr:col>
      <xdr:colOff>742950</xdr:colOff>
      <xdr:row>5</xdr:row>
      <xdr:rowOff>28575</xdr:rowOff>
    </xdr:to>
    <xdr:sp macro="[0]!VOLVER2036">
      <xdr:nvSpPr>
        <xdr:cNvPr id="1" name="Elipse 1"/>
        <xdr:cNvSpPr>
          <a:spLocks/>
        </xdr:cNvSpPr>
      </xdr:nvSpPr>
      <xdr:spPr>
        <a:xfrm>
          <a:off x="6105525" y="447675"/>
          <a:ext cx="1485900" cy="561975"/>
        </a:xfrm>
        <a:prstGeom prst="ellipse">
          <a:avLst/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314325</xdr:colOff>
      <xdr:row>2</xdr:row>
      <xdr:rowOff>95250</xdr:rowOff>
    </xdr:from>
    <xdr:to>
      <xdr:col>19</xdr:col>
      <xdr:colOff>723900</xdr:colOff>
      <xdr:row>4</xdr:row>
      <xdr:rowOff>180975</xdr:rowOff>
    </xdr:to>
    <xdr:sp macro="[0]!VOLVER2039">
      <xdr:nvSpPr>
        <xdr:cNvPr id="1" name="Elipse 1"/>
        <xdr:cNvSpPr>
          <a:spLocks/>
        </xdr:cNvSpPr>
      </xdr:nvSpPr>
      <xdr:spPr>
        <a:xfrm>
          <a:off x="6219825" y="504825"/>
          <a:ext cx="1343025" cy="466725"/>
        </a:xfrm>
        <a:prstGeom prst="ellipse">
          <a:avLst/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123825</xdr:rowOff>
    </xdr:from>
    <xdr:to>
      <xdr:col>19</xdr:col>
      <xdr:colOff>771525</xdr:colOff>
      <xdr:row>5</xdr:row>
      <xdr:rowOff>47625</xdr:rowOff>
    </xdr:to>
    <xdr:sp macro="[0]!VOLVER2043">
      <xdr:nvSpPr>
        <xdr:cNvPr id="1" name="Elipse 1"/>
        <xdr:cNvSpPr>
          <a:spLocks/>
        </xdr:cNvSpPr>
      </xdr:nvSpPr>
      <xdr:spPr>
        <a:xfrm>
          <a:off x="6229350" y="533400"/>
          <a:ext cx="1504950" cy="495300"/>
        </a:xfrm>
        <a:prstGeom prst="ellipse">
          <a:avLst/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2</xdr:row>
      <xdr:rowOff>47625</xdr:rowOff>
    </xdr:from>
    <xdr:to>
      <xdr:col>19</xdr:col>
      <xdr:colOff>714375</xdr:colOff>
      <xdr:row>4</xdr:row>
      <xdr:rowOff>114300</xdr:rowOff>
    </xdr:to>
    <xdr:sp macro="[0]!VOLVER2047">
      <xdr:nvSpPr>
        <xdr:cNvPr id="1" name="Elipse 1"/>
        <xdr:cNvSpPr>
          <a:spLocks/>
        </xdr:cNvSpPr>
      </xdr:nvSpPr>
      <xdr:spPr>
        <a:xfrm>
          <a:off x="6115050" y="457200"/>
          <a:ext cx="1362075" cy="447675"/>
        </a:xfrm>
        <a:prstGeom prst="ellipse">
          <a:avLst/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114300</xdr:rowOff>
    </xdr:from>
    <xdr:to>
      <xdr:col>9</xdr:col>
      <xdr:colOff>552450</xdr:colOff>
      <xdr:row>51</xdr:row>
      <xdr:rowOff>104775</xdr:rowOff>
    </xdr:to>
    <xdr:sp>
      <xdr:nvSpPr>
        <xdr:cNvPr id="1" name="Cerrar llave 1"/>
        <xdr:cNvSpPr>
          <a:spLocks/>
        </xdr:cNvSpPr>
      </xdr:nvSpPr>
      <xdr:spPr>
        <a:xfrm>
          <a:off x="5067300" y="514350"/>
          <a:ext cx="0" cy="32480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B3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8515625" style="38" customWidth="1"/>
    <col min="2" max="2" width="14.421875" style="38" bestFit="1" customWidth="1"/>
    <col min="3" max="4" width="10.7109375" style="38" bestFit="1" customWidth="1"/>
    <col min="5" max="5" width="9.8515625" style="38" bestFit="1" customWidth="1"/>
    <col min="6" max="6" width="13.421875" style="38" customWidth="1"/>
    <col min="7" max="7" width="9.421875" style="38" customWidth="1"/>
    <col min="8" max="8" width="9.8515625" style="38" bestFit="1" customWidth="1"/>
    <col min="9" max="9" width="13.57421875" style="38" bestFit="1" customWidth="1"/>
    <col min="10" max="10" width="9.00390625" style="38" customWidth="1"/>
    <col min="11" max="11" width="9.8515625" style="38" bestFit="1" customWidth="1"/>
    <col min="12" max="12" width="13.57421875" style="38" bestFit="1" customWidth="1"/>
    <col min="13" max="13" width="8.7109375" style="38" customWidth="1"/>
    <col min="14" max="14" width="9.8515625" style="38" bestFit="1" customWidth="1"/>
    <col min="15" max="15" width="13.57421875" style="38" bestFit="1" customWidth="1"/>
    <col min="16" max="16" width="9.28125" style="38" customWidth="1"/>
    <col min="17" max="17" width="9.8515625" style="38" bestFit="1" customWidth="1"/>
    <col min="18" max="18" width="13.57421875" style="38" bestFit="1" customWidth="1"/>
    <col min="19" max="19" width="9.421875" style="38" customWidth="1"/>
    <col min="20" max="21" width="9.140625" style="38" customWidth="1"/>
    <col min="22" max="28" width="11.421875" style="38" hidden="1" customWidth="1"/>
    <col min="29" max="16384" width="9.140625" style="38" customWidth="1"/>
  </cols>
  <sheetData>
    <row r="1" spans="1:19" ht="15">
      <c r="A1" s="234" t="s">
        <v>198</v>
      </c>
      <c r="B1" s="235"/>
      <c r="C1" s="238" t="s">
        <v>200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15.75" thickBot="1">
      <c r="A2" s="236"/>
      <c r="B2" s="237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5.25" customHeight="1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.75" thickBot="1">
      <c r="A4" s="204"/>
      <c r="B4" s="241" t="s">
        <v>191</v>
      </c>
      <c r="C4" s="242"/>
      <c r="D4" s="231">
        <v>43966</v>
      </c>
      <c r="E4" s="207" t="s">
        <v>176</v>
      </c>
      <c r="F4" s="232">
        <v>0.1</v>
      </c>
      <c r="G4" s="203"/>
      <c r="H4" s="207" t="s">
        <v>176</v>
      </c>
      <c r="I4" s="232">
        <v>0.1</v>
      </c>
      <c r="J4" s="203"/>
      <c r="K4" s="207" t="s">
        <v>176</v>
      </c>
      <c r="L4" s="232">
        <v>0.1</v>
      </c>
      <c r="M4" s="205"/>
      <c r="N4" s="207" t="s">
        <v>176</v>
      </c>
      <c r="O4" s="232">
        <v>0.1</v>
      </c>
      <c r="P4" s="203"/>
      <c r="Q4" s="207" t="s">
        <v>176</v>
      </c>
      <c r="R4" s="232">
        <v>0.1</v>
      </c>
      <c r="S4" s="203"/>
    </row>
    <row r="5" spans="1:19" ht="41.25" customHeight="1" thickBot="1">
      <c r="A5" s="206"/>
      <c r="B5" s="243" t="s">
        <v>199</v>
      </c>
      <c r="C5" s="244"/>
      <c r="D5" s="230" t="s">
        <v>188</v>
      </c>
      <c r="E5" s="240" t="s">
        <v>201</v>
      </c>
      <c r="F5" s="240"/>
      <c r="G5" s="240"/>
      <c r="H5" s="240" t="s">
        <v>202</v>
      </c>
      <c r="I5" s="240"/>
      <c r="J5" s="240"/>
      <c r="K5" s="240" t="s">
        <v>203</v>
      </c>
      <c r="L5" s="240"/>
      <c r="M5" s="240"/>
      <c r="N5" s="240" t="s">
        <v>204</v>
      </c>
      <c r="O5" s="240"/>
      <c r="P5" s="240"/>
      <c r="Q5" s="240" t="s">
        <v>205</v>
      </c>
      <c r="R5" s="240"/>
      <c r="S5" s="240"/>
    </row>
    <row r="6" spans="1:28" ht="30.75" customHeight="1" thickBot="1">
      <c r="A6" s="199" t="s">
        <v>177</v>
      </c>
      <c r="B6" s="199" t="s">
        <v>37</v>
      </c>
      <c r="C6" s="199" t="s">
        <v>183</v>
      </c>
      <c r="D6" s="199" t="s">
        <v>154</v>
      </c>
      <c r="E6" s="200" t="s">
        <v>221</v>
      </c>
      <c r="F6" s="201" t="s">
        <v>186</v>
      </c>
      <c r="G6" s="202" t="s">
        <v>220</v>
      </c>
      <c r="H6" s="200" t="s">
        <v>221</v>
      </c>
      <c r="I6" s="201" t="s">
        <v>186</v>
      </c>
      <c r="J6" s="202" t="s">
        <v>220</v>
      </c>
      <c r="K6" s="200" t="s">
        <v>221</v>
      </c>
      <c r="L6" s="201" t="s">
        <v>186</v>
      </c>
      <c r="M6" s="202" t="s">
        <v>220</v>
      </c>
      <c r="N6" s="200" t="s">
        <v>221</v>
      </c>
      <c r="O6" s="201" t="s">
        <v>186</v>
      </c>
      <c r="P6" s="202" t="s">
        <v>220</v>
      </c>
      <c r="Q6" s="200" t="s">
        <v>221</v>
      </c>
      <c r="R6" s="201" t="s">
        <v>186</v>
      </c>
      <c r="S6" s="202" t="s">
        <v>220</v>
      </c>
      <c r="V6" s="38" t="s">
        <v>135</v>
      </c>
      <c r="W6" s="38" t="s">
        <v>25</v>
      </c>
      <c r="X6" s="38">
        <v>2030</v>
      </c>
      <c r="Y6" s="38">
        <v>2036</v>
      </c>
      <c r="Z6" s="38">
        <v>2039</v>
      </c>
      <c r="AA6" s="38">
        <v>2043</v>
      </c>
      <c r="AB6" s="38">
        <v>2047</v>
      </c>
    </row>
    <row r="7" spans="1:28" ht="15">
      <c r="A7" s="39" t="s">
        <v>61</v>
      </c>
      <c r="B7" s="40" t="s">
        <v>22</v>
      </c>
      <c r="C7" s="41">
        <v>48944</v>
      </c>
      <c r="D7" s="227"/>
      <c r="E7" s="42"/>
      <c r="F7" s="43"/>
      <c r="G7" s="44"/>
      <c r="H7" s="42"/>
      <c r="I7" s="43"/>
      <c r="J7" s="44"/>
      <c r="K7" s="45">
        <f>IF($D7=0,"",+$D7*(1+M7))</f>
      </c>
      <c r="L7" s="46">
        <f>IF(D7=0,"",+Z7)</f>
      </c>
      <c r="M7" s="47">
        <f>IF(D7=0,"",IF($D$5="Actual/365",(($C$31/100*Z7-D7)/D7),(($D$31/100*Z7-D7)/D7)))</f>
      </c>
      <c r="N7" s="45">
        <f aca="true" t="shared" si="0" ref="N7:N12">IF($D7=0,"",+$D7*(1+P7))</f>
      </c>
      <c r="O7" s="46">
        <f aca="true" t="shared" si="1" ref="O7:O12">IF(D7=0,"",+AA7)</f>
      </c>
      <c r="P7" s="47">
        <f aca="true" t="shared" si="2" ref="P7:P12">IF(D7=0,"",IF($D$5="Actual/365",(($C$32/100*AA7-D7)/D7),(($D$32/100*AA7-D7)/D7)))</f>
      </c>
      <c r="Q7" s="45">
        <f>IF($D7=0,"",+$D7*(1+S7))</f>
      </c>
      <c r="R7" s="46">
        <f>IF(D7=0,"",+AB7)</f>
      </c>
      <c r="S7" s="47">
        <f aca="true" t="shared" si="3" ref="S7:S23">IF(D7=0,"",IF($D$5="Actual/365",(($C$33/100*AB7-D7)/D7),(($D$33/100*AB7-D7)/D7)))</f>
      </c>
      <c r="V7" s="38" t="s">
        <v>61</v>
      </c>
      <c r="W7" s="38" t="s">
        <v>22</v>
      </c>
      <c r="X7" s="233">
        <f>+'Relaciones de canje'!D36</f>
        <v>0</v>
      </c>
      <c r="Y7" s="233">
        <f>+'Relaciones de canje'!E36</f>
        <v>0</v>
      </c>
      <c r="Z7" s="233">
        <f>+'Relaciones de canje'!F36</f>
        <v>100</v>
      </c>
      <c r="AA7" s="233">
        <f>+'Relaciones de canje'!G36</f>
        <v>100</v>
      </c>
      <c r="AB7" s="233">
        <f>+'Relaciones de canje'!H36</f>
        <v>95</v>
      </c>
    </row>
    <row r="8" spans="1:28" ht="15">
      <c r="A8" s="48" t="s">
        <v>62</v>
      </c>
      <c r="B8" s="49" t="s">
        <v>23</v>
      </c>
      <c r="C8" s="50">
        <v>48944</v>
      </c>
      <c r="D8" s="228"/>
      <c r="E8" s="45"/>
      <c r="F8" s="46"/>
      <c r="G8" s="51"/>
      <c r="H8" s="45"/>
      <c r="I8" s="46"/>
      <c r="J8" s="51"/>
      <c r="K8" s="45">
        <f>IF($D8=0,"",+$D8*(1+M8))</f>
      </c>
      <c r="L8" s="46">
        <f>IF(D8=0,"",+Z8)</f>
      </c>
      <c r="M8" s="47">
        <f>IF(D8=0,"",IF($D$5="Actual/365",(($C$31/100*Z8-D8)/D8),(($D$31/100*Z8-D8)/D8)))</f>
      </c>
      <c r="N8" s="45">
        <f t="shared" si="0"/>
      </c>
      <c r="O8" s="46">
        <f t="shared" si="1"/>
      </c>
      <c r="P8" s="47">
        <f t="shared" si="2"/>
      </c>
      <c r="Q8" s="45">
        <f aca="true" t="shared" si="4" ref="Q8:Q23">IF($D8=0,"",+$D8*(1+S8))</f>
      </c>
      <c r="R8" s="46">
        <f aca="true" t="shared" si="5" ref="R8:R23">IF(D8=0,"",+AB8)</f>
      </c>
      <c r="S8" s="47">
        <f t="shared" si="3"/>
      </c>
      <c r="V8" s="38" t="s">
        <v>62</v>
      </c>
      <c r="W8" s="38" t="s">
        <v>23</v>
      </c>
      <c r="X8" s="233">
        <f>+'Relaciones de canje'!D37</f>
        <v>0</v>
      </c>
      <c r="Y8" s="233">
        <f>+'Relaciones de canje'!E37</f>
        <v>0</v>
      </c>
      <c r="Z8" s="233">
        <f>+'Relaciones de canje'!F37</f>
        <v>100</v>
      </c>
      <c r="AA8" s="233">
        <f>+'Relaciones de canje'!G37</f>
        <v>100</v>
      </c>
      <c r="AB8" s="233">
        <f>+'Relaciones de canje'!H37</f>
        <v>95</v>
      </c>
    </row>
    <row r="9" spans="1:28" ht="15">
      <c r="A9" s="48" t="s">
        <v>63</v>
      </c>
      <c r="B9" s="49" t="s">
        <v>24</v>
      </c>
      <c r="C9" s="50">
        <v>48944</v>
      </c>
      <c r="D9" s="228"/>
      <c r="E9" s="45"/>
      <c r="F9" s="46"/>
      <c r="G9" s="51"/>
      <c r="H9" s="45"/>
      <c r="I9" s="46"/>
      <c r="J9" s="51"/>
      <c r="K9" s="45">
        <f>IF($D9=0,"",+$D9*(1+M9))</f>
      </c>
      <c r="L9" s="46">
        <f>IF(D9=0,"",+Z9)</f>
      </c>
      <c r="M9" s="47">
        <f>IF(D9=0,"",IF($D$5="Actual/365",(($C$31/100*Z9-D9)/D9),(($D$31/100*Z9-D9)/D9)))</f>
      </c>
      <c r="N9" s="45">
        <f t="shared" si="0"/>
      </c>
      <c r="O9" s="46">
        <f t="shared" si="1"/>
      </c>
      <c r="P9" s="47">
        <f t="shared" si="2"/>
      </c>
      <c r="Q9" s="45">
        <f t="shared" si="4"/>
      </c>
      <c r="R9" s="46">
        <f t="shared" si="5"/>
      </c>
      <c r="S9" s="47">
        <f t="shared" si="3"/>
      </c>
      <c r="V9" s="38" t="s">
        <v>63</v>
      </c>
      <c r="W9" s="38" t="s">
        <v>24</v>
      </c>
      <c r="X9" s="233">
        <f>+'Relaciones de canje'!D38</f>
        <v>0</v>
      </c>
      <c r="Y9" s="233">
        <f>+'Relaciones de canje'!E38</f>
        <v>0</v>
      </c>
      <c r="Z9" s="233">
        <f>+'Relaciones de canje'!F38</f>
        <v>100</v>
      </c>
      <c r="AA9" s="233">
        <f>+'Relaciones de canje'!G38</f>
        <v>100</v>
      </c>
      <c r="AB9" s="233">
        <f>+'Relaciones de canje'!H38</f>
        <v>95</v>
      </c>
    </row>
    <row r="10" spans="1:28" ht="15">
      <c r="A10" s="48" t="s">
        <v>42</v>
      </c>
      <c r="B10" s="49" t="s">
        <v>27</v>
      </c>
      <c r="C10" s="50">
        <v>50770</v>
      </c>
      <c r="D10" s="228"/>
      <c r="E10" s="45"/>
      <c r="F10" s="46"/>
      <c r="G10" s="51"/>
      <c r="H10" s="45"/>
      <c r="I10" s="46"/>
      <c r="J10" s="51"/>
      <c r="K10" s="45"/>
      <c r="L10" s="46"/>
      <c r="M10" s="51"/>
      <c r="N10" s="45">
        <f t="shared" si="0"/>
      </c>
      <c r="O10" s="46">
        <f t="shared" si="1"/>
      </c>
      <c r="P10" s="47">
        <f t="shared" si="2"/>
      </c>
      <c r="Q10" s="45">
        <f t="shared" si="4"/>
      </c>
      <c r="R10" s="46">
        <f t="shared" si="5"/>
      </c>
      <c r="S10" s="47">
        <f t="shared" si="3"/>
      </c>
      <c r="V10" s="38" t="s">
        <v>42</v>
      </c>
      <c r="W10" s="38" t="s">
        <v>27</v>
      </c>
      <c r="X10" s="233">
        <f>+'Relaciones de canje'!D39</f>
        <v>0</v>
      </c>
      <c r="Y10" s="233">
        <f>+'Relaciones de canje'!E39</f>
        <v>0</v>
      </c>
      <c r="Z10" s="233">
        <f>+'Relaciones de canje'!F39</f>
        <v>0</v>
      </c>
      <c r="AA10" s="233">
        <f>+'Relaciones de canje'!G39</f>
        <v>100</v>
      </c>
      <c r="AB10" s="233">
        <f>+'Relaciones de canje'!H39</f>
        <v>95</v>
      </c>
    </row>
    <row r="11" spans="1:28" ht="15">
      <c r="A11" s="48" t="s">
        <v>43</v>
      </c>
      <c r="B11" s="49" t="s">
        <v>28</v>
      </c>
      <c r="C11" s="50">
        <v>50770</v>
      </c>
      <c r="D11" s="228"/>
      <c r="E11" s="45"/>
      <c r="F11" s="46"/>
      <c r="G11" s="51"/>
      <c r="H11" s="45"/>
      <c r="I11" s="46"/>
      <c r="J11" s="51"/>
      <c r="K11" s="45"/>
      <c r="L11" s="46"/>
      <c r="M11" s="51"/>
      <c r="N11" s="45">
        <f t="shared" si="0"/>
      </c>
      <c r="O11" s="46">
        <f t="shared" si="1"/>
      </c>
      <c r="P11" s="47">
        <f t="shared" si="2"/>
      </c>
      <c r="Q11" s="45">
        <f t="shared" si="4"/>
      </c>
      <c r="R11" s="46">
        <f t="shared" si="5"/>
      </c>
      <c r="S11" s="47">
        <f t="shared" si="3"/>
      </c>
      <c r="V11" s="38" t="s">
        <v>43</v>
      </c>
      <c r="W11" s="38" t="s">
        <v>28</v>
      </c>
      <c r="X11" s="233">
        <f>+'Relaciones de canje'!D40</f>
        <v>0</v>
      </c>
      <c r="Y11" s="233">
        <f>+'Relaciones de canje'!E40</f>
        <v>0</v>
      </c>
      <c r="Z11" s="233">
        <f>+'Relaciones de canje'!F40</f>
        <v>0</v>
      </c>
      <c r="AA11" s="233">
        <f>+'Relaciones de canje'!G40</f>
        <v>100</v>
      </c>
      <c r="AB11" s="233">
        <f>+'Relaciones de canje'!H40</f>
        <v>95</v>
      </c>
    </row>
    <row r="12" spans="1:28" ht="15">
      <c r="A12" s="48" t="s">
        <v>44</v>
      </c>
      <c r="B12" s="49" t="s">
        <v>29</v>
      </c>
      <c r="C12" s="50">
        <v>50770</v>
      </c>
      <c r="D12" s="228"/>
      <c r="E12" s="45"/>
      <c r="F12" s="46"/>
      <c r="G12" s="51"/>
      <c r="H12" s="45"/>
      <c r="I12" s="46"/>
      <c r="J12" s="51"/>
      <c r="K12" s="45"/>
      <c r="L12" s="46"/>
      <c r="M12" s="51"/>
      <c r="N12" s="45">
        <f t="shared" si="0"/>
      </c>
      <c r="O12" s="46">
        <f t="shared" si="1"/>
      </c>
      <c r="P12" s="47">
        <f t="shared" si="2"/>
      </c>
      <c r="Q12" s="45">
        <f t="shared" si="4"/>
      </c>
      <c r="R12" s="46">
        <f t="shared" si="5"/>
      </c>
      <c r="S12" s="47">
        <f t="shared" si="3"/>
      </c>
      <c r="V12" s="38" t="s">
        <v>44</v>
      </c>
      <c r="W12" s="38" t="s">
        <v>29</v>
      </c>
      <c r="X12" s="233">
        <f>+'Relaciones de canje'!D41</f>
        <v>0</v>
      </c>
      <c r="Y12" s="233">
        <f>+'Relaciones de canje'!E41</f>
        <v>0</v>
      </c>
      <c r="Z12" s="233">
        <f>+'Relaciones de canje'!F41</f>
        <v>0</v>
      </c>
      <c r="AA12" s="233">
        <f>+'Relaciones de canje'!G41</f>
        <v>100</v>
      </c>
      <c r="AB12" s="233">
        <f>+'Relaciones de canje'!H41</f>
        <v>95</v>
      </c>
    </row>
    <row r="13" spans="1:28" ht="15">
      <c r="A13" s="48" t="s">
        <v>76</v>
      </c>
      <c r="B13" s="49" t="s">
        <v>30</v>
      </c>
      <c r="C13" s="50">
        <v>44308</v>
      </c>
      <c r="D13" s="228"/>
      <c r="E13" s="45">
        <f>IF(D13=0,"",+$D13*(1+G13))</f>
      </c>
      <c r="F13" s="46">
        <f>IF(D13=0,"",+X13)</f>
      </c>
      <c r="G13" s="47">
        <f>IF(D13=0,"",IF($D$5="Actual/365",(($C$29/100*X13-D13)/D13),(($D$29/100*X13-D13)/D13)))</f>
      </c>
      <c r="H13" s="45">
        <f>IF($D13=0,"",+$D13*(1+J13))</f>
      </c>
      <c r="I13" s="46">
        <f>IF(D13=0,"",+Y13)</f>
      </c>
      <c r="J13" s="47">
        <f aca="true" t="shared" si="6" ref="J13:J23">IF(D13=0,"",IF($D$5="Actual/365",(($C$30/100*Y13-D13)/D13),(($D$30/100*Y13-D13)/D13)))</f>
      </c>
      <c r="K13" s="45"/>
      <c r="L13" s="46"/>
      <c r="M13" s="51"/>
      <c r="N13" s="45"/>
      <c r="O13" s="43"/>
      <c r="P13" s="51"/>
      <c r="Q13" s="45">
        <f t="shared" si="4"/>
      </c>
      <c r="R13" s="46">
        <f t="shared" si="5"/>
      </c>
      <c r="S13" s="47">
        <f t="shared" si="3"/>
      </c>
      <c r="V13" s="38" t="s">
        <v>76</v>
      </c>
      <c r="W13" s="38" t="s">
        <v>30</v>
      </c>
      <c r="X13" s="233">
        <f>+'Relaciones de canje'!D42</f>
        <v>88</v>
      </c>
      <c r="Y13" s="233">
        <f>+'Relaciones de canje'!E42</f>
        <v>95</v>
      </c>
      <c r="Z13" s="233">
        <f>+'Relaciones de canje'!F42</f>
        <v>0</v>
      </c>
      <c r="AA13" s="233">
        <f>+'Relaciones de canje'!G42</f>
        <v>0</v>
      </c>
      <c r="AB13" s="233">
        <f>+'Relaciones de canje'!H42</f>
        <v>95</v>
      </c>
    </row>
    <row r="14" spans="1:28" ht="15">
      <c r="A14" s="48" t="s">
        <v>104</v>
      </c>
      <c r="B14" s="49" t="s">
        <v>32</v>
      </c>
      <c r="C14" s="50">
        <v>44587</v>
      </c>
      <c r="D14" s="228"/>
      <c r="E14" s="45">
        <f aca="true" t="shared" si="7" ref="E14:E20">IF(D14=0,"",+$D14*(1+G14))</f>
      </c>
      <c r="F14" s="46">
        <f aca="true" t="shared" si="8" ref="F14:F20">IF(D14=0,"",+X14)</f>
      </c>
      <c r="G14" s="47">
        <f aca="true" t="shared" si="9" ref="G14:G20">IF(D14=0,"",IF($D$5="Actual/365",(($C$29/100*X14-D14)/D14),(($D$29/100*X14-D14)/D14)))</f>
      </c>
      <c r="H14" s="45">
        <f aca="true" t="shared" si="10" ref="H14:H23">IF($D14=0,"",+$D14*(1+J14))</f>
      </c>
      <c r="I14" s="46">
        <f aca="true" t="shared" si="11" ref="I14:I23">IF(D14=0,"",+Y14)</f>
      </c>
      <c r="J14" s="47">
        <f t="shared" si="6"/>
      </c>
      <c r="K14" s="45"/>
      <c r="L14" s="46"/>
      <c r="M14" s="51"/>
      <c r="N14" s="45"/>
      <c r="O14" s="43"/>
      <c r="P14" s="51"/>
      <c r="Q14" s="45">
        <f t="shared" si="4"/>
      </c>
      <c r="R14" s="46">
        <f t="shared" si="5"/>
      </c>
      <c r="S14" s="47">
        <f t="shared" si="3"/>
      </c>
      <c r="V14" s="38" t="s">
        <v>104</v>
      </c>
      <c r="W14" s="38" t="s">
        <v>32</v>
      </c>
      <c r="X14" s="233">
        <f>+'Relaciones de canje'!D43</f>
        <v>88</v>
      </c>
      <c r="Y14" s="233">
        <f>+'Relaciones de canje'!E43</f>
        <v>95</v>
      </c>
      <c r="Z14" s="233">
        <f>+'Relaciones de canje'!F43</f>
        <v>0</v>
      </c>
      <c r="AA14" s="233">
        <f>+'Relaciones de canje'!G43</f>
        <v>0</v>
      </c>
      <c r="AB14" s="233">
        <f>+'Relaciones de canje'!H43</f>
        <v>95</v>
      </c>
    </row>
    <row r="15" spans="1:28" ht="15">
      <c r="A15" s="48" t="s">
        <v>124</v>
      </c>
      <c r="B15" s="49" t="s">
        <v>34</v>
      </c>
      <c r="C15" s="50">
        <v>44937</v>
      </c>
      <c r="D15" s="228"/>
      <c r="E15" s="45">
        <f t="shared" si="7"/>
      </c>
      <c r="F15" s="46">
        <f t="shared" si="8"/>
      </c>
      <c r="G15" s="47">
        <f t="shared" si="9"/>
      </c>
      <c r="H15" s="45">
        <f t="shared" si="10"/>
      </c>
      <c r="I15" s="46">
        <f t="shared" si="11"/>
      </c>
      <c r="J15" s="47">
        <f t="shared" si="6"/>
      </c>
      <c r="K15" s="45"/>
      <c r="L15" s="46"/>
      <c r="M15" s="51"/>
      <c r="N15" s="45"/>
      <c r="O15" s="43"/>
      <c r="P15" s="51"/>
      <c r="Q15" s="45">
        <f t="shared" si="4"/>
      </c>
      <c r="R15" s="46">
        <f t="shared" si="5"/>
      </c>
      <c r="S15" s="47">
        <f t="shared" si="3"/>
      </c>
      <c r="V15" s="38" t="s">
        <v>124</v>
      </c>
      <c r="W15" s="38" t="s">
        <v>34</v>
      </c>
      <c r="X15" s="233">
        <f>+'Relaciones de canje'!D44</f>
        <v>88</v>
      </c>
      <c r="Y15" s="233">
        <f>+'Relaciones de canje'!E44</f>
        <v>95</v>
      </c>
      <c r="Z15" s="233">
        <f>+'Relaciones de canje'!F44</f>
        <v>0</v>
      </c>
      <c r="AA15" s="233">
        <f>+'Relaciones de canje'!G44</f>
        <v>0</v>
      </c>
      <c r="AB15" s="233">
        <f>+'Relaciones de canje'!H44</f>
        <v>95</v>
      </c>
    </row>
    <row r="16" spans="1:28" ht="15">
      <c r="A16" s="48" t="s">
        <v>81</v>
      </c>
      <c r="B16" s="49" t="s">
        <v>78</v>
      </c>
      <c r="C16" s="50">
        <v>46134</v>
      </c>
      <c r="D16" s="228"/>
      <c r="E16" s="45">
        <f t="shared" si="7"/>
      </c>
      <c r="F16" s="46">
        <f t="shared" si="8"/>
      </c>
      <c r="G16" s="47">
        <f t="shared" si="9"/>
      </c>
      <c r="H16" s="45">
        <f t="shared" si="10"/>
      </c>
      <c r="I16" s="46">
        <f t="shared" si="11"/>
      </c>
      <c r="J16" s="47">
        <f t="shared" si="6"/>
      </c>
      <c r="K16" s="45"/>
      <c r="L16" s="46"/>
      <c r="M16" s="51"/>
      <c r="N16" s="45"/>
      <c r="O16" s="43"/>
      <c r="P16" s="51"/>
      <c r="Q16" s="45">
        <f t="shared" si="4"/>
      </c>
      <c r="R16" s="46">
        <f t="shared" si="5"/>
      </c>
      <c r="S16" s="47">
        <f t="shared" si="3"/>
      </c>
      <c r="V16" s="38" t="s">
        <v>81</v>
      </c>
      <c r="W16" s="38" t="s">
        <v>78</v>
      </c>
      <c r="X16" s="233">
        <f>+'Relaciones de canje'!D45</f>
        <v>88</v>
      </c>
      <c r="Y16" s="233">
        <f>+'Relaciones de canje'!E45</f>
        <v>95</v>
      </c>
      <c r="Z16" s="233">
        <f>+'Relaciones de canje'!F45</f>
        <v>0</v>
      </c>
      <c r="AA16" s="233">
        <f>+'Relaciones de canje'!G45</f>
        <v>0</v>
      </c>
      <c r="AB16" s="233">
        <f>+'Relaciones de canje'!H45</f>
        <v>95</v>
      </c>
    </row>
    <row r="17" spans="1:28" ht="15">
      <c r="A17" s="48" t="s">
        <v>108</v>
      </c>
      <c r="B17" s="49" t="s">
        <v>106</v>
      </c>
      <c r="C17" s="50">
        <v>46413</v>
      </c>
      <c r="D17" s="228"/>
      <c r="E17" s="45">
        <f t="shared" si="7"/>
      </c>
      <c r="F17" s="46">
        <f t="shared" si="8"/>
      </c>
      <c r="G17" s="47">
        <f t="shared" si="9"/>
      </c>
      <c r="H17" s="45">
        <f t="shared" si="10"/>
      </c>
      <c r="I17" s="46">
        <f t="shared" si="11"/>
      </c>
      <c r="J17" s="47">
        <f t="shared" si="6"/>
      </c>
      <c r="K17" s="45"/>
      <c r="L17" s="46"/>
      <c r="M17" s="51"/>
      <c r="N17" s="45"/>
      <c r="O17" s="43"/>
      <c r="P17" s="51"/>
      <c r="Q17" s="45">
        <f t="shared" si="4"/>
      </c>
      <c r="R17" s="46">
        <f t="shared" si="5"/>
      </c>
      <c r="S17" s="47">
        <f t="shared" si="3"/>
      </c>
      <c r="V17" s="38" t="s">
        <v>108</v>
      </c>
      <c r="W17" s="38" t="s">
        <v>106</v>
      </c>
      <c r="X17" s="233">
        <f>+'Relaciones de canje'!D46</f>
        <v>88</v>
      </c>
      <c r="Y17" s="233">
        <f>+'Relaciones de canje'!E46</f>
        <v>95</v>
      </c>
      <c r="Z17" s="233">
        <f>+'Relaciones de canje'!F46</f>
        <v>0</v>
      </c>
      <c r="AA17" s="233">
        <f>+'Relaciones de canje'!G46</f>
        <v>0</v>
      </c>
      <c r="AB17" s="233">
        <f>+'Relaciones de canje'!H46</f>
        <v>95</v>
      </c>
    </row>
    <row r="18" spans="1:28" ht="15">
      <c r="A18" s="48" t="s">
        <v>126</v>
      </c>
      <c r="B18" s="49" t="s">
        <v>125</v>
      </c>
      <c r="C18" s="50">
        <v>46763</v>
      </c>
      <c r="D18" s="228"/>
      <c r="E18" s="45">
        <f t="shared" si="7"/>
      </c>
      <c r="F18" s="46">
        <f t="shared" si="8"/>
      </c>
      <c r="G18" s="47">
        <f t="shared" si="9"/>
      </c>
      <c r="H18" s="45">
        <f t="shared" si="10"/>
      </c>
      <c r="I18" s="46">
        <f t="shared" si="11"/>
      </c>
      <c r="J18" s="47">
        <f t="shared" si="6"/>
      </c>
      <c r="K18" s="45"/>
      <c r="L18" s="46"/>
      <c r="M18" s="51"/>
      <c r="N18" s="45"/>
      <c r="O18" s="43"/>
      <c r="P18" s="51"/>
      <c r="Q18" s="45">
        <f t="shared" si="4"/>
      </c>
      <c r="R18" s="46">
        <f t="shared" si="5"/>
      </c>
      <c r="S18" s="47">
        <f t="shared" si="3"/>
      </c>
      <c r="V18" s="38" t="s">
        <v>126</v>
      </c>
      <c r="W18" s="38" t="s">
        <v>125</v>
      </c>
      <c r="X18" s="233">
        <f>+'Relaciones de canje'!D47</f>
        <v>88</v>
      </c>
      <c r="Y18" s="233">
        <f>+'Relaciones de canje'!E47</f>
        <v>95</v>
      </c>
      <c r="Z18" s="233">
        <f>+'Relaciones de canje'!F47</f>
        <v>0</v>
      </c>
      <c r="AA18" s="233">
        <f>+'Relaciones de canje'!G47</f>
        <v>0</v>
      </c>
      <c r="AB18" s="233">
        <f>+'Relaciones de canje'!H47</f>
        <v>95</v>
      </c>
    </row>
    <row r="19" spans="1:28" ht="15">
      <c r="A19" s="48" t="s">
        <v>92</v>
      </c>
      <c r="B19" s="49" t="s">
        <v>90</v>
      </c>
      <c r="C19" s="50">
        <v>46940</v>
      </c>
      <c r="D19" s="228"/>
      <c r="E19" s="45">
        <f t="shared" si="7"/>
      </c>
      <c r="F19" s="46">
        <f t="shared" si="8"/>
      </c>
      <c r="G19" s="47">
        <f t="shared" si="9"/>
      </c>
      <c r="H19" s="45">
        <f t="shared" si="10"/>
      </c>
      <c r="I19" s="46">
        <f t="shared" si="11"/>
      </c>
      <c r="J19" s="47">
        <f t="shared" si="6"/>
      </c>
      <c r="K19" s="45"/>
      <c r="L19" s="46"/>
      <c r="M19" s="51"/>
      <c r="N19" s="45"/>
      <c r="O19" s="43"/>
      <c r="P19" s="51"/>
      <c r="Q19" s="45">
        <f t="shared" si="4"/>
      </c>
      <c r="R19" s="46">
        <f t="shared" si="5"/>
      </c>
      <c r="S19" s="47">
        <f t="shared" si="3"/>
      </c>
      <c r="V19" s="38" t="s">
        <v>92</v>
      </c>
      <c r="W19" s="38" t="s">
        <v>90</v>
      </c>
      <c r="X19" s="233">
        <f>+'Relaciones de canje'!D48</f>
        <v>88</v>
      </c>
      <c r="Y19" s="233">
        <f>+'Relaciones de canje'!E48</f>
        <v>95</v>
      </c>
      <c r="Z19" s="233">
        <f>+'Relaciones de canje'!F48</f>
        <v>0</v>
      </c>
      <c r="AA19" s="233">
        <f>+'Relaciones de canje'!G48</f>
        <v>0</v>
      </c>
      <c r="AB19" s="233">
        <f>+'Relaciones de canje'!H48</f>
        <v>95</v>
      </c>
    </row>
    <row r="20" spans="1:28" ht="15">
      <c r="A20" s="48" t="s">
        <v>97</v>
      </c>
      <c r="B20" s="49" t="s">
        <v>94</v>
      </c>
      <c r="C20" s="50">
        <v>49862</v>
      </c>
      <c r="D20" s="228"/>
      <c r="E20" s="45">
        <f t="shared" si="7"/>
      </c>
      <c r="F20" s="46">
        <f t="shared" si="8"/>
      </c>
      <c r="G20" s="47">
        <f t="shared" si="9"/>
      </c>
      <c r="H20" s="45">
        <f t="shared" si="10"/>
      </c>
      <c r="I20" s="46">
        <f t="shared" si="11"/>
      </c>
      <c r="J20" s="47">
        <f t="shared" si="6"/>
      </c>
      <c r="K20" s="45"/>
      <c r="L20" s="46"/>
      <c r="M20" s="51"/>
      <c r="N20" s="45"/>
      <c r="O20" s="43"/>
      <c r="P20" s="51"/>
      <c r="Q20" s="45">
        <f t="shared" si="4"/>
      </c>
      <c r="R20" s="46">
        <f t="shared" si="5"/>
      </c>
      <c r="S20" s="47">
        <f t="shared" si="3"/>
      </c>
      <c r="V20" s="38" t="s">
        <v>97</v>
      </c>
      <c r="W20" s="38" t="s">
        <v>94</v>
      </c>
      <c r="X20" s="233">
        <f>+'Relaciones de canje'!D49</f>
        <v>88</v>
      </c>
      <c r="Y20" s="233">
        <f>+'Relaciones de canje'!E49</f>
        <v>95</v>
      </c>
      <c r="Z20" s="233">
        <f>+'Relaciones de canje'!F49</f>
        <v>0</v>
      </c>
      <c r="AA20" s="233">
        <f>+'Relaciones de canje'!G49</f>
        <v>0</v>
      </c>
      <c r="AB20" s="233">
        <f>+'Relaciones de canje'!H49</f>
        <v>95</v>
      </c>
    </row>
    <row r="21" spans="1:28" ht="15">
      <c r="A21" s="48" t="s">
        <v>87</v>
      </c>
      <c r="B21" s="49" t="s">
        <v>84</v>
      </c>
      <c r="C21" s="50">
        <v>53439</v>
      </c>
      <c r="D21" s="228"/>
      <c r="E21" s="45"/>
      <c r="F21" s="46"/>
      <c r="G21" s="51"/>
      <c r="H21" s="45">
        <f t="shared" si="10"/>
      </c>
      <c r="I21" s="46">
        <f t="shared" si="11"/>
      </c>
      <c r="J21" s="47">
        <f t="shared" si="6"/>
      </c>
      <c r="K21" s="45"/>
      <c r="L21" s="46"/>
      <c r="M21" s="51"/>
      <c r="N21" s="45"/>
      <c r="O21" s="43"/>
      <c r="P21" s="51"/>
      <c r="Q21" s="45">
        <f t="shared" si="4"/>
      </c>
      <c r="R21" s="46">
        <f t="shared" si="5"/>
      </c>
      <c r="S21" s="47">
        <f t="shared" si="3"/>
      </c>
      <c r="V21" s="38" t="s">
        <v>87</v>
      </c>
      <c r="W21" s="38" t="s">
        <v>84</v>
      </c>
      <c r="X21" s="233">
        <f>+'Relaciones de canje'!D50</f>
        <v>0</v>
      </c>
      <c r="Y21" s="233">
        <f>+'Relaciones de canje'!E50</f>
        <v>95</v>
      </c>
      <c r="Z21" s="233">
        <f>+'Relaciones de canje'!F50</f>
        <v>0</v>
      </c>
      <c r="AA21" s="233">
        <f>+'Relaciones de canje'!G50</f>
        <v>0</v>
      </c>
      <c r="AB21" s="233">
        <f>+'Relaciones de canje'!H50</f>
        <v>95</v>
      </c>
    </row>
    <row r="22" spans="1:28" ht="15">
      <c r="A22" s="48" t="s">
        <v>128</v>
      </c>
      <c r="B22" s="49" t="s">
        <v>127</v>
      </c>
      <c r="C22" s="50">
        <v>54068</v>
      </c>
      <c r="D22" s="228"/>
      <c r="E22" s="45"/>
      <c r="F22" s="46"/>
      <c r="G22" s="51"/>
      <c r="H22" s="45">
        <f t="shared" si="10"/>
      </c>
      <c r="I22" s="46">
        <f t="shared" si="11"/>
      </c>
      <c r="J22" s="47">
        <f t="shared" si="6"/>
      </c>
      <c r="K22" s="45"/>
      <c r="L22" s="46"/>
      <c r="M22" s="51"/>
      <c r="N22" s="45"/>
      <c r="O22" s="46"/>
      <c r="P22" s="51"/>
      <c r="Q22" s="45">
        <f t="shared" si="4"/>
      </c>
      <c r="R22" s="46">
        <f t="shared" si="5"/>
      </c>
      <c r="S22" s="47">
        <f t="shared" si="3"/>
      </c>
      <c r="V22" s="38" t="s">
        <v>128</v>
      </c>
      <c r="W22" s="38" t="s">
        <v>127</v>
      </c>
      <c r="X22" s="233">
        <f>+'Relaciones de canje'!D51</f>
        <v>0</v>
      </c>
      <c r="Y22" s="233">
        <f>+'Relaciones de canje'!E51</f>
        <v>95</v>
      </c>
      <c r="Z22" s="233">
        <f>+'Relaciones de canje'!F51</f>
        <v>0</v>
      </c>
      <c r="AA22" s="233">
        <f>+'Relaciones de canje'!G51</f>
        <v>0</v>
      </c>
      <c r="AB22" s="233">
        <f>+'Relaciones de canje'!H51</f>
        <v>95</v>
      </c>
    </row>
    <row r="23" spans="1:28" ht="15.75" thickBot="1">
      <c r="A23" s="52" t="s">
        <v>140</v>
      </c>
      <c r="B23" s="53" t="s">
        <v>113</v>
      </c>
      <c r="C23" s="54">
        <v>79436</v>
      </c>
      <c r="D23" s="229"/>
      <c r="E23" s="55"/>
      <c r="F23" s="56"/>
      <c r="G23" s="57"/>
      <c r="H23" s="55">
        <f t="shared" si="10"/>
      </c>
      <c r="I23" s="56">
        <f t="shared" si="11"/>
      </c>
      <c r="J23" s="58">
        <f t="shared" si="6"/>
      </c>
      <c r="K23" s="55"/>
      <c r="L23" s="56"/>
      <c r="M23" s="57"/>
      <c r="N23" s="55"/>
      <c r="O23" s="56"/>
      <c r="P23" s="57"/>
      <c r="Q23" s="55">
        <f t="shared" si="4"/>
      </c>
      <c r="R23" s="56">
        <f t="shared" si="5"/>
      </c>
      <c r="S23" s="58">
        <f t="shared" si="3"/>
      </c>
      <c r="V23" s="38" t="s">
        <v>140</v>
      </c>
      <c r="W23" s="38" t="s">
        <v>113</v>
      </c>
      <c r="X23" s="233">
        <f>+'Relaciones de canje'!D52</f>
        <v>0</v>
      </c>
      <c r="Y23" s="233">
        <f>+'Relaciones de canje'!E52</f>
        <v>95</v>
      </c>
      <c r="Z23" s="233">
        <f>+'Relaciones de canje'!F52</f>
        <v>0</v>
      </c>
      <c r="AA23" s="233">
        <f>+'Relaciones de canje'!G52</f>
        <v>0</v>
      </c>
      <c r="AB23" s="233">
        <f>+'Relaciones de canje'!H52</f>
        <v>95</v>
      </c>
    </row>
    <row r="27" spans="1:4" ht="15" hidden="1">
      <c r="A27" s="38" t="s">
        <v>184</v>
      </c>
      <c r="C27" s="38" t="s">
        <v>190</v>
      </c>
      <c r="D27" s="38" t="s">
        <v>189</v>
      </c>
    </row>
    <row r="28" ht="15" hidden="1"/>
    <row r="29" spans="1:4" ht="15" hidden="1">
      <c r="A29" s="38" t="s">
        <v>178</v>
      </c>
      <c r="C29" s="59">
        <f>+'2030 Flujo'!K31</f>
        <v>47.703980560262195</v>
      </c>
      <c r="D29" s="59">
        <f>+'2030 Flujo'!J31</f>
        <v>47.74105243247432</v>
      </c>
    </row>
    <row r="30" spans="1:4" ht="15" hidden="1">
      <c r="A30" s="38" t="s">
        <v>179</v>
      </c>
      <c r="C30" s="59">
        <f>+'2036 Flujo'!K43</f>
        <v>40.64515350556789</v>
      </c>
      <c r="D30" s="59">
        <f>+'2036 Flujo'!J43</f>
        <v>40.68521183787713</v>
      </c>
    </row>
    <row r="31" spans="1:25" ht="15" hidden="1">
      <c r="A31" s="38" t="s">
        <v>180</v>
      </c>
      <c r="C31" s="59">
        <f>+'2039 Flujo'!K49</f>
        <v>43.54904920881729</v>
      </c>
      <c r="D31" s="59">
        <f>+'2039 Flujo'!J49</f>
        <v>43.590611932817076</v>
      </c>
      <c r="V31" s="38" t="s">
        <v>185</v>
      </c>
      <c r="W31" s="38">
        <v>100</v>
      </c>
      <c r="X31" s="38">
        <v>33</v>
      </c>
      <c r="Y31" s="38">
        <f>+W31*X31</f>
        <v>3300</v>
      </c>
    </row>
    <row r="32" spans="1:26" ht="15" hidden="1">
      <c r="A32" s="38" t="s">
        <v>181</v>
      </c>
      <c r="C32" s="59">
        <f>+'2043 Flujo'!K57</f>
        <v>42.28573150755368</v>
      </c>
      <c r="D32" s="59">
        <f>+'2043 Flujo'!J57</f>
        <v>42.32773924314108</v>
      </c>
      <c r="J32" s="59"/>
      <c r="N32" s="60"/>
      <c r="O32" s="60"/>
      <c r="V32" s="38" t="s">
        <v>185</v>
      </c>
      <c r="W32" s="38">
        <v>88</v>
      </c>
      <c r="X32" s="59">
        <f>+C29</f>
        <v>47.703980560262195</v>
      </c>
      <c r="Y32" s="38">
        <f>+W32*X32</f>
        <v>4197.950289303073</v>
      </c>
      <c r="Z32" s="61">
        <f>+(Y32-Y31)/Y31</f>
        <v>0.27210614827365853</v>
      </c>
    </row>
    <row r="33" spans="1:25" ht="15" hidden="1">
      <c r="A33" s="38" t="s">
        <v>182</v>
      </c>
      <c r="C33" s="59">
        <f>+'2047 Flujo'!K65</f>
        <v>41.002203620655116</v>
      </c>
      <c r="D33" s="59">
        <f>+'2047 Flujo'!J65</f>
        <v>41.04361106990315</v>
      </c>
      <c r="N33" s="60"/>
      <c r="O33" s="60"/>
      <c r="W33" s="38">
        <v>95</v>
      </c>
      <c r="X33" s="59">
        <f>+C30</f>
        <v>40.64515350556789</v>
      </c>
      <c r="Y33" s="38">
        <f>+W33*X33</f>
        <v>3861.2895830289494</v>
      </c>
    </row>
    <row r="34" ht="15" hidden="1"/>
    <row r="35" ht="15" hidden="1"/>
    <row r="36" ht="15" hidden="1"/>
    <row r="37" spans="1:2" ht="15" hidden="1">
      <c r="A37" s="38" t="s">
        <v>187</v>
      </c>
      <c r="B37" s="38" t="s">
        <v>189</v>
      </c>
    </row>
    <row r="38" ht="15" hidden="1">
      <c r="B38" s="38" t="s">
        <v>188</v>
      </c>
    </row>
  </sheetData>
  <sheetProtection password="DCE5" sheet="1" selectLockedCells="1"/>
  <mergeCells count="9">
    <mergeCell ref="A1:B2"/>
    <mergeCell ref="C1:S2"/>
    <mergeCell ref="E5:G5"/>
    <mergeCell ref="H5:J5"/>
    <mergeCell ref="K5:M5"/>
    <mergeCell ref="N5:P5"/>
    <mergeCell ref="Q5:S5"/>
    <mergeCell ref="B4:C4"/>
    <mergeCell ref="B5:C5"/>
  </mergeCells>
  <dataValidations count="1">
    <dataValidation type="list" allowBlank="1" showInputMessage="1" showErrorMessage="1" sqref="D5">
      <formula1>$B$37:$B$38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AL3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5.28125" style="38" customWidth="1"/>
    <col min="2" max="2" width="10.7109375" style="38" hidden="1" customWidth="1"/>
    <col min="3" max="3" width="8.28125" style="38" hidden="1" customWidth="1"/>
    <col min="4" max="4" width="11.28125" style="38" bestFit="1" customWidth="1"/>
    <col min="5" max="5" width="12.7109375" style="38" bestFit="1" customWidth="1"/>
    <col min="6" max="6" width="12.57421875" style="38" bestFit="1" customWidth="1"/>
    <col min="7" max="7" width="12.140625" style="38" customWidth="1"/>
    <col min="8" max="8" width="16.140625" style="38" customWidth="1"/>
    <col min="9" max="10" width="12.28125" style="38" hidden="1" customWidth="1"/>
    <col min="11" max="11" width="15.7109375" style="38" hidden="1" customWidth="1"/>
    <col min="12" max="17" width="11.421875" style="38" hidden="1" customWidth="1"/>
    <col min="18" max="18" width="9.140625" style="38" customWidth="1"/>
    <col min="19" max="19" width="0" style="38" hidden="1" customWidth="1"/>
    <col min="20" max="20" width="13.7109375" style="38" hidden="1" customWidth="1"/>
    <col min="21" max="21" width="8.00390625" style="38" hidden="1" customWidth="1"/>
    <col min="22" max="22" width="12.00390625" style="38" hidden="1" customWidth="1"/>
    <col min="23" max="23" width="8.00390625" style="38" hidden="1" customWidth="1"/>
    <col min="24" max="24" width="12.00390625" style="38" hidden="1" customWidth="1"/>
    <col min="25" max="25" width="8.00390625" style="38" hidden="1" customWidth="1"/>
    <col min="26" max="26" width="12.00390625" style="38" hidden="1" customWidth="1"/>
    <col min="27" max="27" width="9.140625" style="38" customWidth="1"/>
    <col min="28" max="28" width="14.7109375" style="38" customWidth="1"/>
    <col min="29" max="37" width="9.140625" style="38" customWidth="1"/>
    <col min="38" max="38" width="0" style="38" hidden="1" customWidth="1"/>
    <col min="39" max="16384" width="9.140625" style="38" customWidth="1"/>
  </cols>
  <sheetData>
    <row r="1" spans="1:8" ht="16.5" thickBot="1">
      <c r="A1" s="249" t="s">
        <v>8</v>
      </c>
      <c r="B1" s="250"/>
      <c r="C1" s="250"/>
      <c r="D1" s="250"/>
      <c r="E1" s="250"/>
      <c r="F1" s="250"/>
      <c r="G1" s="250"/>
      <c r="H1" s="251"/>
    </row>
    <row r="2" spans="5:38" ht="15.75" thickBot="1">
      <c r="E2" s="62"/>
      <c r="H2" s="63"/>
      <c r="I2" s="127"/>
      <c r="J2" s="127"/>
      <c r="Y2" s="126"/>
      <c r="AL2" s="38" t="s">
        <v>76</v>
      </c>
    </row>
    <row r="3" spans="1:38" ht="15">
      <c r="A3" s="64" t="s">
        <v>163</v>
      </c>
      <c r="B3" s="65"/>
      <c r="C3" s="66"/>
      <c r="D3" s="67">
        <f>+Reestructuracion!F4</f>
        <v>0.1</v>
      </c>
      <c r="E3" s="62"/>
      <c r="F3" s="254" t="s">
        <v>141</v>
      </c>
      <c r="G3" s="255"/>
      <c r="H3" s="213" t="s">
        <v>76</v>
      </c>
      <c r="Y3" s="126"/>
      <c r="AL3" s="38" t="s">
        <v>104</v>
      </c>
    </row>
    <row r="4" spans="1:38" ht="15">
      <c r="A4" s="68" t="s">
        <v>194</v>
      </c>
      <c r="B4" s="69"/>
      <c r="C4" s="70"/>
      <c r="D4" s="71">
        <f>IF(Reestructuracion!$D$5="Actual/365",K31,J31)</f>
        <v>47.703980560262195</v>
      </c>
      <c r="F4" s="256" t="s">
        <v>143</v>
      </c>
      <c r="G4" s="257"/>
      <c r="H4" s="214">
        <v>100</v>
      </c>
      <c r="V4" s="100"/>
      <c r="Y4" s="60"/>
      <c r="AL4" s="38" t="s">
        <v>124</v>
      </c>
    </row>
    <row r="5" spans="1:38" ht="15">
      <c r="A5" s="72" t="s">
        <v>148</v>
      </c>
      <c r="B5" s="69"/>
      <c r="C5" s="70"/>
      <c r="D5" s="212">
        <f>IF(Reestructuracion!$D$5="Actual/365",O31,N31)</f>
        <v>8.208790337983523</v>
      </c>
      <c r="F5" s="256" t="s">
        <v>142</v>
      </c>
      <c r="G5" s="257"/>
      <c r="H5" s="92">
        <f>+H4*88/100</f>
        <v>88</v>
      </c>
      <c r="Y5" s="60"/>
      <c r="AL5" s="38" t="s">
        <v>81</v>
      </c>
    </row>
    <row r="6" spans="1:38" ht="15">
      <c r="A6" s="72" t="s">
        <v>149</v>
      </c>
      <c r="B6" s="69"/>
      <c r="C6" s="70"/>
      <c r="D6" s="212">
        <f>IF(Reestructuracion!$D$5="Actual/365",Q31,P31)</f>
        <v>7.817895559984307</v>
      </c>
      <c r="F6" s="256" t="s">
        <v>157</v>
      </c>
      <c r="G6" s="257"/>
      <c r="H6" s="93">
        <f>VLOOKUP(H3,Reestructuracion!$A$7:$D$23,4,FALSE)</f>
        <v>0</v>
      </c>
      <c r="Y6" s="60"/>
      <c r="AL6" s="38" t="s">
        <v>108</v>
      </c>
    </row>
    <row r="7" spans="1:38" ht="15.75" thickBot="1">
      <c r="A7" s="73" t="s">
        <v>191</v>
      </c>
      <c r="B7" s="74"/>
      <c r="C7" s="75"/>
      <c r="D7" s="76">
        <f>+Reestructuracion!D4</f>
        <v>43966</v>
      </c>
      <c r="F7" s="256" t="s">
        <v>197</v>
      </c>
      <c r="G7" s="257"/>
      <c r="H7" s="93">
        <f>+D4</f>
        <v>47.703980560262195</v>
      </c>
      <c r="Y7" s="60"/>
      <c r="AL7" s="38" t="s">
        <v>126</v>
      </c>
    </row>
    <row r="8" spans="6:38" ht="15">
      <c r="F8" s="195" t="s">
        <v>195</v>
      </c>
      <c r="G8" s="196"/>
      <c r="H8" s="93">
        <f>+H7*H5/100</f>
        <v>41.979502893030734</v>
      </c>
      <c r="Y8" s="60"/>
      <c r="AL8" s="38" t="s">
        <v>92</v>
      </c>
    </row>
    <row r="9" spans="6:38" ht="15.75" thickBot="1">
      <c r="F9" s="252" t="s">
        <v>196</v>
      </c>
      <c r="G9" s="253"/>
      <c r="H9" s="58">
        <f>IF(H6=0,"",+((H7/H4*H5)-H6)/H6)</f>
      </c>
      <c r="AA9" s="245" t="s">
        <v>198</v>
      </c>
      <c r="AB9" s="246"/>
      <c r="AL9" s="38" t="s">
        <v>97</v>
      </c>
    </row>
    <row r="10" spans="6:28" ht="15">
      <c r="F10" s="77"/>
      <c r="G10" s="77"/>
      <c r="H10" s="60"/>
      <c r="AA10" s="247"/>
      <c r="AB10" s="248"/>
    </row>
    <row r="11" ht="15">
      <c r="A11" s="78" t="s">
        <v>15</v>
      </c>
    </row>
    <row r="12" spans="10:11" ht="15.75" thickBot="1">
      <c r="J12" s="38" t="s">
        <v>189</v>
      </c>
      <c r="K12" s="38" t="s">
        <v>190</v>
      </c>
    </row>
    <row r="13" spans="1:17" ht="30" customHeight="1" thickBot="1">
      <c r="A13" s="215" t="s">
        <v>16</v>
      </c>
      <c r="B13" s="215" t="s">
        <v>21</v>
      </c>
      <c r="C13" s="215" t="s">
        <v>150</v>
      </c>
      <c r="D13" s="215" t="s">
        <v>6</v>
      </c>
      <c r="E13" s="215" t="s">
        <v>17</v>
      </c>
      <c r="F13" s="215" t="s">
        <v>19</v>
      </c>
      <c r="G13" s="216" t="s">
        <v>18</v>
      </c>
      <c r="H13" s="215" t="s">
        <v>20</v>
      </c>
      <c r="I13" s="94" t="s">
        <v>152</v>
      </c>
      <c r="J13" s="79" t="s">
        <v>146</v>
      </c>
      <c r="K13" s="79" t="s">
        <v>146</v>
      </c>
      <c r="L13" s="79" t="s">
        <v>206</v>
      </c>
      <c r="M13" s="79" t="s">
        <v>207</v>
      </c>
      <c r="N13" s="79" t="s">
        <v>208</v>
      </c>
      <c r="O13" s="79" t="s">
        <v>209</v>
      </c>
      <c r="P13" s="79"/>
      <c r="Q13" s="79" t="s">
        <v>149</v>
      </c>
    </row>
    <row r="14" spans="1:26" ht="15.75" thickBot="1">
      <c r="A14" s="80">
        <v>44880</v>
      </c>
      <c r="B14" s="81"/>
      <c r="C14" s="81"/>
      <c r="D14" s="81"/>
      <c r="E14" s="81"/>
      <c r="F14" s="82"/>
      <c r="G14" s="83"/>
      <c r="H14" s="95"/>
      <c r="I14" s="96"/>
      <c r="J14" s="69"/>
      <c r="K14" s="69"/>
      <c r="L14" s="69"/>
      <c r="M14" s="69"/>
      <c r="N14" s="69"/>
      <c r="O14" s="69"/>
      <c r="P14" s="209"/>
      <c r="Q14" s="92"/>
      <c r="S14" s="97" t="s">
        <v>135</v>
      </c>
      <c r="T14" s="97" t="s">
        <v>164</v>
      </c>
      <c r="U14" s="97" t="s">
        <v>169</v>
      </c>
      <c r="V14" s="98" t="s">
        <v>171</v>
      </c>
      <c r="W14" s="97" t="s">
        <v>168</v>
      </c>
      <c r="X14" s="97" t="s">
        <v>172</v>
      </c>
      <c r="Y14" s="97" t="s">
        <v>170</v>
      </c>
      <c r="Z14" s="97" t="s">
        <v>173</v>
      </c>
    </row>
    <row r="15" spans="1:26" ht="15">
      <c r="A15" s="84">
        <v>45061</v>
      </c>
      <c r="B15" s="85">
        <f>+A15-A14</f>
        <v>181</v>
      </c>
      <c r="C15" s="85">
        <f aca="true" t="shared" si="0" ref="C15:C30">+A15-$D$7</f>
        <v>1095</v>
      </c>
      <c r="D15" s="86">
        <f>100-E15</f>
        <v>100</v>
      </c>
      <c r="E15" s="217"/>
      <c r="F15" s="70">
        <v>0.005</v>
      </c>
      <c r="G15" s="218">
        <f>D15*F15/2</f>
        <v>0.25</v>
      </c>
      <c r="H15" s="219">
        <f>+G15+E15</f>
        <v>0.25</v>
      </c>
      <c r="I15" s="99">
        <f>+H15*C15</f>
        <v>273.75</v>
      </c>
      <c r="J15" s="100">
        <f aca="true" t="shared" si="1" ref="J15:J30">H15/((1+$D$3)^(DAYS360($D$7,A15)/360))</f>
        <v>0.18782870022539438</v>
      </c>
      <c r="K15" s="100">
        <f aca="true" t="shared" si="2" ref="K15:K30">H15/((1+$D$3)^(C15/365))</f>
        <v>0.18782870022539438</v>
      </c>
      <c r="L15" s="101">
        <f aca="true" t="shared" si="3" ref="L15:L30">+K15/$D$4</f>
        <v>0.0039373800261409886</v>
      </c>
      <c r="M15" s="101">
        <f>+J15/$D$4</f>
        <v>0.0039373800261409886</v>
      </c>
      <c r="N15" s="102">
        <f>+M15*C15</f>
        <v>4.311431128624382</v>
      </c>
      <c r="O15" s="102">
        <f aca="true" t="shared" si="4" ref="O15:O30">+L15*C15</f>
        <v>4.311431128624382</v>
      </c>
      <c r="P15" s="210"/>
      <c r="Q15" s="92"/>
      <c r="S15" s="103" t="s">
        <v>165</v>
      </c>
      <c r="T15" s="104">
        <v>36.5</v>
      </c>
      <c r="U15" s="40">
        <v>47.4099</v>
      </c>
      <c r="V15" s="104">
        <f>+U15-T15</f>
        <v>10.9099</v>
      </c>
      <c r="W15" s="40">
        <v>40.8533</v>
      </c>
      <c r="X15" s="104">
        <f>+W15-T15</f>
        <v>4.353299999999997</v>
      </c>
      <c r="Y15" s="40">
        <v>32.8843</v>
      </c>
      <c r="Z15" s="105">
        <f>+Y15-T15</f>
        <v>-3.615699999999997</v>
      </c>
    </row>
    <row r="16" spans="1:26" ht="15">
      <c r="A16" s="84">
        <v>45245</v>
      </c>
      <c r="B16" s="85">
        <f aca="true" t="shared" si="5" ref="B16:B30">+A16-A15</f>
        <v>184</v>
      </c>
      <c r="C16" s="85">
        <f t="shared" si="0"/>
        <v>1279</v>
      </c>
      <c r="D16" s="86">
        <f>+D15-E16</f>
        <v>100</v>
      </c>
      <c r="E16" s="217"/>
      <c r="F16" s="70">
        <v>0.005</v>
      </c>
      <c r="G16" s="218">
        <f>D15*F16/2</f>
        <v>0.25</v>
      </c>
      <c r="H16" s="219">
        <f aca="true" t="shared" si="6" ref="H16:H30">+G16+E16</f>
        <v>0.25</v>
      </c>
      <c r="I16" s="99">
        <f aca="true" t="shared" si="7" ref="I16:I30">+H16*C16</f>
        <v>319.75</v>
      </c>
      <c r="J16" s="100">
        <f t="shared" si="1"/>
        <v>0.17908763885153872</v>
      </c>
      <c r="K16" s="100">
        <f t="shared" si="2"/>
        <v>0.17901750652545984</v>
      </c>
      <c r="L16" s="101">
        <f t="shared" si="3"/>
        <v>0.003752674397879972</v>
      </c>
      <c r="M16" s="101">
        <f aca="true" t="shared" si="8" ref="M16:M30">+J16/$D$4</f>
        <v>0.0037541445545682655</v>
      </c>
      <c r="N16" s="102">
        <f aca="true" t="shared" si="9" ref="N16:N30">+M16*C16</f>
        <v>4.801550885292811</v>
      </c>
      <c r="O16" s="102">
        <f t="shared" si="4"/>
        <v>4.799670554888484</v>
      </c>
      <c r="P16" s="210"/>
      <c r="Q16" s="92"/>
      <c r="S16" s="68" t="s">
        <v>145</v>
      </c>
      <c r="T16" s="106">
        <v>33.06252122764147</v>
      </c>
      <c r="U16" s="49">
        <v>47.4099</v>
      </c>
      <c r="V16" s="106">
        <f>+U16-T16</f>
        <v>14.347378772358532</v>
      </c>
      <c r="W16" s="49">
        <v>40.8533</v>
      </c>
      <c r="X16" s="106">
        <f>+W16-T16</f>
        <v>7.790778772358529</v>
      </c>
      <c r="Y16" s="49">
        <v>32.8843</v>
      </c>
      <c r="Z16" s="105">
        <f>+Y16-T16</f>
        <v>-0.17822122764146542</v>
      </c>
    </row>
    <row r="17" spans="1:26" ht="15">
      <c r="A17" s="84">
        <v>45427</v>
      </c>
      <c r="B17" s="85">
        <f t="shared" si="5"/>
        <v>182</v>
      </c>
      <c r="C17" s="85">
        <f t="shared" si="0"/>
        <v>1461</v>
      </c>
      <c r="D17" s="86">
        <f aca="true" t="shared" si="10" ref="D17:D30">+D16-E17</f>
        <v>100</v>
      </c>
      <c r="E17" s="217"/>
      <c r="F17" s="70">
        <v>0.005</v>
      </c>
      <c r="G17" s="218">
        <f aca="true" t="shared" si="11" ref="G17:G30">D16*F17/2</f>
        <v>0.25</v>
      </c>
      <c r="H17" s="219">
        <f t="shared" si="6"/>
        <v>0.25</v>
      </c>
      <c r="I17" s="99">
        <f t="shared" si="7"/>
        <v>365.25</v>
      </c>
      <c r="J17" s="100">
        <f t="shared" si="1"/>
        <v>0.17075336384126763</v>
      </c>
      <c r="K17" s="100">
        <f t="shared" si="2"/>
        <v>0.17070878189836092</v>
      </c>
      <c r="L17" s="101">
        <f t="shared" si="3"/>
        <v>0.0035785018334625667</v>
      </c>
      <c r="M17" s="101">
        <f t="shared" si="8"/>
        <v>0.003579436387400899</v>
      </c>
      <c r="N17" s="102">
        <f t="shared" si="9"/>
        <v>5.229556561992713</v>
      </c>
      <c r="O17" s="102">
        <f t="shared" si="4"/>
        <v>5.22819117868881</v>
      </c>
      <c r="P17" s="210"/>
      <c r="Q17" s="92"/>
      <c r="S17" s="68" t="s">
        <v>166</v>
      </c>
      <c r="T17" s="106">
        <v>35</v>
      </c>
      <c r="U17" s="49">
        <v>47.4099</v>
      </c>
      <c r="V17" s="106">
        <f>+U17-T17</f>
        <v>12.4099</v>
      </c>
      <c r="W17" s="49">
        <v>40.8533</v>
      </c>
      <c r="X17" s="106">
        <f>+W17-T17</f>
        <v>5.853299999999997</v>
      </c>
      <c r="Y17" s="49">
        <v>32.8843</v>
      </c>
      <c r="Z17" s="105">
        <f>+Y17-T17</f>
        <v>-2.115699999999997</v>
      </c>
    </row>
    <row r="18" spans="1:26" ht="15.75" thickBot="1">
      <c r="A18" s="84">
        <v>45611</v>
      </c>
      <c r="B18" s="85">
        <f t="shared" si="5"/>
        <v>184</v>
      </c>
      <c r="C18" s="85">
        <f t="shared" si="0"/>
        <v>1645</v>
      </c>
      <c r="D18" s="86">
        <f t="shared" si="10"/>
        <v>100</v>
      </c>
      <c r="E18" s="217"/>
      <c r="F18" s="70">
        <v>0.005</v>
      </c>
      <c r="G18" s="218">
        <f t="shared" si="11"/>
        <v>0.25</v>
      </c>
      <c r="H18" s="219">
        <f t="shared" si="6"/>
        <v>0.25</v>
      </c>
      <c r="I18" s="99">
        <f t="shared" si="7"/>
        <v>411.25</v>
      </c>
      <c r="J18" s="100">
        <f t="shared" si="1"/>
        <v>0.1628069444104897</v>
      </c>
      <c r="K18" s="100">
        <f t="shared" si="2"/>
        <v>0.16270069718190724</v>
      </c>
      <c r="L18" s="101">
        <f t="shared" si="3"/>
        <v>0.003410631466621011</v>
      </c>
      <c r="M18" s="101">
        <f t="shared" si="8"/>
        <v>0.0034128586859711496</v>
      </c>
      <c r="N18" s="102">
        <f t="shared" si="9"/>
        <v>5.614152538422541</v>
      </c>
      <c r="O18" s="102">
        <f t="shared" si="4"/>
        <v>5.6104887625915625</v>
      </c>
      <c r="P18" s="210"/>
      <c r="Q18" s="92"/>
      <c r="S18" s="107" t="s">
        <v>167</v>
      </c>
      <c r="T18" s="108">
        <v>28.65</v>
      </c>
      <c r="U18" s="53">
        <v>47.4099</v>
      </c>
      <c r="V18" s="108">
        <f>+U18-T18</f>
        <v>18.759900000000002</v>
      </c>
      <c r="W18" s="53">
        <v>40.8533</v>
      </c>
      <c r="X18" s="108">
        <f>+W18-T18</f>
        <v>12.203299999999999</v>
      </c>
      <c r="Y18" s="53">
        <v>32.8843</v>
      </c>
      <c r="Z18" s="105">
        <f>+Y18-T18</f>
        <v>4.234300000000005</v>
      </c>
    </row>
    <row r="19" spans="1:26" ht="15">
      <c r="A19" s="84">
        <v>45792</v>
      </c>
      <c r="B19" s="85">
        <f t="shared" si="5"/>
        <v>181</v>
      </c>
      <c r="C19" s="85">
        <f t="shared" si="0"/>
        <v>1826</v>
      </c>
      <c r="D19" s="86">
        <f t="shared" si="10"/>
        <v>100</v>
      </c>
      <c r="E19" s="217"/>
      <c r="F19" s="70">
        <v>0.005</v>
      </c>
      <c r="G19" s="218">
        <f t="shared" si="11"/>
        <v>0.25</v>
      </c>
      <c r="H19" s="219">
        <f t="shared" si="6"/>
        <v>0.25</v>
      </c>
      <c r="I19" s="99">
        <f t="shared" si="7"/>
        <v>456.5</v>
      </c>
      <c r="J19" s="100">
        <f t="shared" si="1"/>
        <v>0.15523033076478873</v>
      </c>
      <c r="K19" s="100">
        <f t="shared" si="2"/>
        <v>0.15518980172578264</v>
      </c>
      <c r="L19" s="101">
        <f t="shared" si="3"/>
        <v>0.00325318348496597</v>
      </c>
      <c r="M19" s="101">
        <f t="shared" si="8"/>
        <v>0.0032540330794553624</v>
      </c>
      <c r="N19" s="102">
        <f t="shared" si="9"/>
        <v>5.941864403085492</v>
      </c>
      <c r="O19" s="102">
        <f t="shared" si="4"/>
        <v>5.940313043547861</v>
      </c>
      <c r="P19" s="210"/>
      <c r="Q19" s="92"/>
      <c r="S19" s="38" t="s">
        <v>144</v>
      </c>
      <c r="Z19" s="109"/>
    </row>
    <row r="20" spans="1:25" ht="15">
      <c r="A20" s="84">
        <v>45976</v>
      </c>
      <c r="B20" s="85">
        <f t="shared" si="5"/>
        <v>184</v>
      </c>
      <c r="C20" s="85">
        <f t="shared" si="0"/>
        <v>2010</v>
      </c>
      <c r="D20" s="86">
        <f t="shared" si="10"/>
        <v>100</v>
      </c>
      <c r="E20" s="217"/>
      <c r="F20" s="70">
        <v>0.005</v>
      </c>
      <c r="G20" s="218">
        <f t="shared" si="11"/>
        <v>0.25</v>
      </c>
      <c r="H20" s="219">
        <f t="shared" si="6"/>
        <v>0.25</v>
      </c>
      <c r="I20" s="99">
        <f t="shared" si="7"/>
        <v>502.5</v>
      </c>
      <c r="J20" s="100">
        <f t="shared" si="1"/>
        <v>0.1480063131004452</v>
      </c>
      <c r="K20" s="100">
        <f t="shared" si="2"/>
        <v>0.14790972471082475</v>
      </c>
      <c r="L20" s="101">
        <f t="shared" si="3"/>
        <v>0.003100574060564555</v>
      </c>
      <c r="M20" s="101">
        <f t="shared" si="8"/>
        <v>0.0031025988054283185</v>
      </c>
      <c r="N20" s="102">
        <f t="shared" si="9"/>
        <v>6.23622359891092</v>
      </c>
      <c r="O20" s="102">
        <f t="shared" si="4"/>
        <v>6.232153861734756</v>
      </c>
      <c r="P20" s="210"/>
      <c r="Q20" s="92"/>
      <c r="S20" s="110" t="s">
        <v>174</v>
      </c>
      <c r="U20" s="111">
        <v>47.7454</v>
      </c>
      <c r="W20" s="111">
        <v>41.1972</v>
      </c>
      <c r="Y20" s="111">
        <v>33.26</v>
      </c>
    </row>
    <row r="21" spans="1:19" ht="15">
      <c r="A21" s="84">
        <v>46157</v>
      </c>
      <c r="B21" s="85">
        <f t="shared" si="5"/>
        <v>181</v>
      </c>
      <c r="C21" s="85">
        <f t="shared" si="0"/>
        <v>2191</v>
      </c>
      <c r="D21" s="86">
        <f t="shared" si="10"/>
        <v>100</v>
      </c>
      <c r="E21" s="217"/>
      <c r="F21" s="87">
        <v>0.01</v>
      </c>
      <c r="G21" s="218">
        <f t="shared" si="11"/>
        <v>0.5</v>
      </c>
      <c r="H21" s="219">
        <f t="shared" si="6"/>
        <v>0.5</v>
      </c>
      <c r="I21" s="99">
        <f t="shared" si="7"/>
        <v>1095.5</v>
      </c>
      <c r="J21" s="100">
        <f t="shared" si="1"/>
        <v>0.2822369650268886</v>
      </c>
      <c r="K21" s="100">
        <f t="shared" si="2"/>
        <v>0.28216327586505935</v>
      </c>
      <c r="L21" s="101">
        <f t="shared" si="3"/>
        <v>0.005914879063574491</v>
      </c>
      <c r="M21" s="101">
        <f t="shared" si="8"/>
        <v>0.0059164237808279315</v>
      </c>
      <c r="N21" s="102">
        <f t="shared" si="9"/>
        <v>12.962884503793997</v>
      </c>
      <c r="O21" s="102">
        <f t="shared" si="4"/>
        <v>12.959500028291709</v>
      </c>
      <c r="P21" s="210"/>
      <c r="Q21" s="92"/>
      <c r="S21" s="110" t="s">
        <v>175</v>
      </c>
    </row>
    <row r="22" spans="1:17" ht="15">
      <c r="A22" s="84">
        <v>46341</v>
      </c>
      <c r="B22" s="85">
        <f t="shared" si="5"/>
        <v>184</v>
      </c>
      <c r="C22" s="85">
        <f t="shared" si="0"/>
        <v>2375</v>
      </c>
      <c r="D22" s="86">
        <f t="shared" si="10"/>
        <v>80</v>
      </c>
      <c r="E22" s="217">
        <v>20</v>
      </c>
      <c r="F22" s="87">
        <v>0.01</v>
      </c>
      <c r="G22" s="218">
        <f t="shared" si="11"/>
        <v>0.5</v>
      </c>
      <c r="H22" s="219">
        <f t="shared" si="6"/>
        <v>20.5</v>
      </c>
      <c r="I22" s="99">
        <f t="shared" si="7"/>
        <v>48687.5</v>
      </c>
      <c r="J22" s="100">
        <f t="shared" si="1"/>
        <v>11.03319788566955</v>
      </c>
      <c r="K22" s="100">
        <f t="shared" si="2"/>
        <v>11.025997660261481</v>
      </c>
      <c r="L22" s="101">
        <f t="shared" si="3"/>
        <v>0.23113370269663047</v>
      </c>
      <c r="M22" s="101">
        <f t="shared" si="8"/>
        <v>0.23128463822283823</v>
      </c>
      <c r="N22" s="102">
        <f t="shared" si="9"/>
        <v>549.3010157792409</v>
      </c>
      <c r="O22" s="102">
        <f t="shared" si="4"/>
        <v>548.9425439044974</v>
      </c>
      <c r="P22" s="210"/>
      <c r="Q22" s="92"/>
    </row>
    <row r="23" spans="1:17" ht="15">
      <c r="A23" s="84">
        <v>46522</v>
      </c>
      <c r="B23" s="85">
        <f t="shared" si="5"/>
        <v>181</v>
      </c>
      <c r="C23" s="85">
        <f t="shared" si="0"/>
        <v>2556</v>
      </c>
      <c r="D23" s="86">
        <f t="shared" si="10"/>
        <v>80</v>
      </c>
      <c r="E23" s="217"/>
      <c r="F23" s="87">
        <v>0.01</v>
      </c>
      <c r="G23" s="218">
        <f t="shared" si="11"/>
        <v>0.4</v>
      </c>
      <c r="H23" s="219">
        <f t="shared" si="6"/>
        <v>0.4</v>
      </c>
      <c r="I23" s="99">
        <f t="shared" si="7"/>
        <v>1022.4000000000001</v>
      </c>
      <c r="J23" s="100">
        <f t="shared" si="1"/>
        <v>0.2052632472922826</v>
      </c>
      <c r="K23" s="100">
        <f t="shared" si="2"/>
        <v>0.2052096551745886</v>
      </c>
      <c r="L23" s="101">
        <f t="shared" si="3"/>
        <v>0.004301730228054175</v>
      </c>
      <c r="M23" s="101">
        <f t="shared" si="8"/>
        <v>0.00430285365878395</v>
      </c>
      <c r="N23" s="102">
        <f t="shared" si="9"/>
        <v>10.998093951851775</v>
      </c>
      <c r="O23" s="102">
        <f t="shared" si="4"/>
        <v>10.99522246290647</v>
      </c>
      <c r="P23" s="210"/>
      <c r="Q23" s="92"/>
    </row>
    <row r="24" spans="1:17" ht="15">
      <c r="A24" s="84">
        <v>46706</v>
      </c>
      <c r="B24" s="85">
        <f t="shared" si="5"/>
        <v>184</v>
      </c>
      <c r="C24" s="85">
        <f t="shared" si="0"/>
        <v>2740</v>
      </c>
      <c r="D24" s="86">
        <f t="shared" si="10"/>
        <v>60</v>
      </c>
      <c r="E24" s="217">
        <v>20</v>
      </c>
      <c r="F24" s="87">
        <v>0.01</v>
      </c>
      <c r="G24" s="218">
        <f t="shared" si="11"/>
        <v>0.4</v>
      </c>
      <c r="H24" s="219">
        <f t="shared" si="6"/>
        <v>20.4</v>
      </c>
      <c r="I24" s="99">
        <f t="shared" si="7"/>
        <v>55895.99999999999</v>
      </c>
      <c r="J24" s="100">
        <f t="shared" si="1"/>
        <v>9.98125218925316</v>
      </c>
      <c r="K24" s="100">
        <f t="shared" si="2"/>
        <v>9.974738459837436</v>
      </c>
      <c r="L24" s="101">
        <f t="shared" si="3"/>
        <v>0.20909656474551044</v>
      </c>
      <c r="M24" s="101">
        <f t="shared" si="8"/>
        <v>0.20923310952309973</v>
      </c>
      <c r="N24" s="102">
        <f t="shared" si="9"/>
        <v>573.2987200932932</v>
      </c>
      <c r="O24" s="102">
        <f t="shared" si="4"/>
        <v>572.9245874026986</v>
      </c>
      <c r="P24" s="210"/>
      <c r="Q24" s="92"/>
    </row>
    <row r="25" spans="1:17" ht="15">
      <c r="A25" s="84">
        <v>46888</v>
      </c>
      <c r="B25" s="85">
        <f t="shared" si="5"/>
        <v>182</v>
      </c>
      <c r="C25" s="85">
        <f t="shared" si="0"/>
        <v>2922</v>
      </c>
      <c r="D25" s="86">
        <f t="shared" si="10"/>
        <v>60</v>
      </c>
      <c r="E25" s="217"/>
      <c r="F25" s="70">
        <v>0.0175</v>
      </c>
      <c r="G25" s="218">
        <f t="shared" si="11"/>
        <v>0.525</v>
      </c>
      <c r="H25" s="219">
        <f t="shared" si="6"/>
        <v>0.525</v>
      </c>
      <c r="I25" s="99">
        <f t="shared" si="7"/>
        <v>1534.05</v>
      </c>
      <c r="J25" s="100">
        <f t="shared" si="1"/>
        <v>0.24491637461010993</v>
      </c>
      <c r="K25" s="100">
        <f t="shared" si="2"/>
        <v>0.24478850102466615</v>
      </c>
      <c r="L25" s="101">
        <f t="shared" si="3"/>
        <v>0.0051314061876961475</v>
      </c>
      <c r="M25" s="101">
        <f t="shared" si="8"/>
        <v>0.005134086751958122</v>
      </c>
      <c r="N25" s="102">
        <f t="shared" si="9"/>
        <v>15.001801489221632</v>
      </c>
      <c r="O25" s="102">
        <f t="shared" si="4"/>
        <v>14.993968880448143</v>
      </c>
      <c r="P25" s="210"/>
      <c r="Q25" s="92"/>
    </row>
    <row r="26" spans="1:23" ht="15">
      <c r="A26" s="84">
        <v>47072</v>
      </c>
      <c r="B26" s="85">
        <f t="shared" si="5"/>
        <v>184</v>
      </c>
      <c r="C26" s="85">
        <f t="shared" si="0"/>
        <v>3106</v>
      </c>
      <c r="D26" s="86">
        <f t="shared" si="10"/>
        <v>40</v>
      </c>
      <c r="E26" s="217">
        <v>20</v>
      </c>
      <c r="F26" s="70">
        <v>0.0175</v>
      </c>
      <c r="G26" s="218">
        <f t="shared" si="11"/>
        <v>0.525</v>
      </c>
      <c r="H26" s="219">
        <f t="shared" si="6"/>
        <v>20.525</v>
      </c>
      <c r="I26" s="99">
        <f t="shared" si="7"/>
        <v>63750.649999999994</v>
      </c>
      <c r="J26" s="100">
        <f t="shared" si="1"/>
        <v>9.129465293423399</v>
      </c>
      <c r="K26" s="100">
        <f t="shared" si="2"/>
        <v>9.121125383351464</v>
      </c>
      <c r="L26" s="101">
        <f t="shared" si="3"/>
        <v>0.19120260565738692</v>
      </c>
      <c r="M26" s="101">
        <f t="shared" si="8"/>
        <v>0.19137743195016138</v>
      </c>
      <c r="N26" s="102">
        <f t="shared" si="9"/>
        <v>594.4183036372012</v>
      </c>
      <c r="O26" s="102">
        <f t="shared" si="4"/>
        <v>593.8752931718437</v>
      </c>
      <c r="P26" s="210"/>
      <c r="Q26" s="92"/>
      <c r="U26" s="112">
        <v>0.08</v>
      </c>
      <c r="V26" s="112">
        <v>0.1</v>
      </c>
      <c r="W26" s="112">
        <v>0.12</v>
      </c>
    </row>
    <row r="27" spans="1:23" ht="15">
      <c r="A27" s="84">
        <v>47253</v>
      </c>
      <c r="B27" s="85">
        <f t="shared" si="5"/>
        <v>181</v>
      </c>
      <c r="C27" s="85">
        <f t="shared" si="0"/>
        <v>3287</v>
      </c>
      <c r="D27" s="86">
        <f t="shared" si="10"/>
        <v>40</v>
      </c>
      <c r="E27" s="217"/>
      <c r="F27" s="70">
        <v>0.0175</v>
      </c>
      <c r="G27" s="218">
        <f t="shared" si="11"/>
        <v>0.35000000000000003</v>
      </c>
      <c r="H27" s="219">
        <f t="shared" si="6"/>
        <v>0.35000000000000003</v>
      </c>
      <c r="I27" s="99">
        <f t="shared" si="7"/>
        <v>1150.45</v>
      </c>
      <c r="J27" s="100">
        <f t="shared" si="1"/>
        <v>0.14843416643036964</v>
      </c>
      <c r="K27" s="100">
        <f t="shared" si="2"/>
        <v>0.14835666728767644</v>
      </c>
      <c r="L27" s="101">
        <f t="shared" si="3"/>
        <v>0.0031099431440582705</v>
      </c>
      <c r="M27" s="101">
        <f t="shared" si="8"/>
        <v>0.0031115677284594676</v>
      </c>
      <c r="N27" s="102">
        <f t="shared" si="9"/>
        <v>10.22772312344627</v>
      </c>
      <c r="O27" s="102">
        <f t="shared" si="4"/>
        <v>10.222383114519536</v>
      </c>
      <c r="P27" s="210"/>
      <c r="Q27" s="92"/>
      <c r="T27" s="38">
        <v>33.1</v>
      </c>
      <c r="U27" s="38">
        <f>+T27*(1+47%)</f>
        <v>48.657000000000004</v>
      </c>
      <c r="V27" s="38">
        <f>+T27*(1+25%)</f>
        <v>41.375</v>
      </c>
      <c r="W27" s="38">
        <f>+T27*(1+6%)</f>
        <v>35.086000000000006</v>
      </c>
    </row>
    <row r="28" spans="1:17" ht="15">
      <c r="A28" s="84">
        <v>47437</v>
      </c>
      <c r="B28" s="85">
        <f t="shared" si="5"/>
        <v>184</v>
      </c>
      <c r="C28" s="85">
        <f t="shared" si="0"/>
        <v>3471</v>
      </c>
      <c r="D28" s="86">
        <f t="shared" si="10"/>
        <v>20</v>
      </c>
      <c r="E28" s="217">
        <v>20</v>
      </c>
      <c r="F28" s="70">
        <v>0.0175</v>
      </c>
      <c r="G28" s="218">
        <f t="shared" si="11"/>
        <v>0.35000000000000003</v>
      </c>
      <c r="H28" s="219">
        <f t="shared" si="6"/>
        <v>20.35</v>
      </c>
      <c r="I28" s="99">
        <f t="shared" si="7"/>
        <v>70634.85</v>
      </c>
      <c r="J28" s="100">
        <f t="shared" si="1"/>
        <v>8.228750690783578</v>
      </c>
      <c r="K28" s="100">
        <f t="shared" si="2"/>
        <v>8.22123359766149</v>
      </c>
      <c r="L28" s="101">
        <f t="shared" si="3"/>
        <v>0.1723385239786435</v>
      </c>
      <c r="M28" s="101">
        <f t="shared" si="8"/>
        <v>0.17249610187956085</v>
      </c>
      <c r="N28" s="102">
        <f t="shared" si="9"/>
        <v>598.7339696239558</v>
      </c>
      <c r="O28" s="102">
        <f t="shared" si="4"/>
        <v>598.1870167298715</v>
      </c>
      <c r="P28" s="210"/>
      <c r="Q28" s="92"/>
    </row>
    <row r="29" spans="1:17" ht="15">
      <c r="A29" s="84">
        <v>47618</v>
      </c>
      <c r="B29" s="85">
        <f t="shared" si="5"/>
        <v>181</v>
      </c>
      <c r="C29" s="85">
        <f t="shared" si="0"/>
        <v>3652</v>
      </c>
      <c r="D29" s="86">
        <f t="shared" si="10"/>
        <v>20</v>
      </c>
      <c r="E29" s="217"/>
      <c r="F29" s="70">
        <v>0.0175</v>
      </c>
      <c r="G29" s="218">
        <f t="shared" si="11"/>
        <v>0.17500000000000002</v>
      </c>
      <c r="H29" s="219">
        <f t="shared" si="6"/>
        <v>0.17500000000000002</v>
      </c>
      <c r="I29" s="99">
        <f t="shared" si="7"/>
        <v>639.1</v>
      </c>
      <c r="J29" s="100">
        <f t="shared" si="1"/>
        <v>0.06747007565016801</v>
      </c>
      <c r="K29" s="100">
        <f t="shared" si="2"/>
        <v>0.06743484876712566</v>
      </c>
      <c r="L29" s="101">
        <f t="shared" si="3"/>
        <v>0.0014136105200264868</v>
      </c>
      <c r="M29" s="101">
        <f t="shared" si="8"/>
        <v>0.001414348967481576</v>
      </c>
      <c r="N29" s="102">
        <f t="shared" si="9"/>
        <v>5.165202429242715</v>
      </c>
      <c r="O29" s="102">
        <f t="shared" si="4"/>
        <v>5.16250561913673</v>
      </c>
      <c r="P29" s="210"/>
      <c r="Q29" s="92"/>
    </row>
    <row r="30" spans="1:17" ht="15.75" thickBot="1">
      <c r="A30" s="88">
        <v>47802</v>
      </c>
      <c r="B30" s="89">
        <f t="shared" si="5"/>
        <v>184</v>
      </c>
      <c r="C30" s="89">
        <f t="shared" si="0"/>
        <v>3836</v>
      </c>
      <c r="D30" s="90">
        <f t="shared" si="10"/>
        <v>0</v>
      </c>
      <c r="E30" s="141">
        <v>20</v>
      </c>
      <c r="F30" s="75">
        <v>0.0175</v>
      </c>
      <c r="G30" s="220">
        <f t="shared" si="11"/>
        <v>0.17500000000000002</v>
      </c>
      <c r="H30" s="143">
        <f t="shared" si="6"/>
        <v>20.175</v>
      </c>
      <c r="I30" s="113">
        <f t="shared" si="7"/>
        <v>77391.3</v>
      </c>
      <c r="J30" s="114">
        <f t="shared" si="1"/>
        <v>7.416352253140882</v>
      </c>
      <c r="K30" s="114">
        <f t="shared" si="2"/>
        <v>7.409577298763483</v>
      </c>
      <c r="L30" s="115">
        <f t="shared" si="3"/>
        <v>0.15532408850878412</v>
      </c>
      <c r="M30" s="101">
        <f t="shared" si="8"/>
        <v>0.1554661092436962</v>
      </c>
      <c r="N30" s="102">
        <f t="shared" si="9"/>
        <v>596.3679950588186</v>
      </c>
      <c r="O30" s="116">
        <f t="shared" si="4"/>
        <v>595.8232035196959</v>
      </c>
      <c r="P30" s="211"/>
      <c r="Q30" s="117"/>
    </row>
    <row r="31" spans="1:20" ht="15.75" thickBot="1">
      <c r="A31" s="91"/>
      <c r="B31" s="91"/>
      <c r="C31" s="91"/>
      <c r="D31" s="91"/>
      <c r="E31" s="91"/>
      <c r="F31" s="91"/>
      <c r="G31" s="91"/>
      <c r="H31" s="221">
        <f>SUM(H15:H30)</f>
        <v>105.39999999999998</v>
      </c>
      <c r="I31" s="119">
        <f>SUM(I15:I30)/H31</f>
        <v>3075.244781783682</v>
      </c>
      <c r="J31" s="120">
        <f>SUM(J15:J30)</f>
        <v>47.74105243247432</v>
      </c>
      <c r="K31" s="120">
        <f>SUM(K15:K30)</f>
        <v>47.703980560262195</v>
      </c>
      <c r="L31" s="121">
        <f>SUM(L15:L30)</f>
        <v>1.0000000000000002</v>
      </c>
      <c r="M31" s="121">
        <f>SUM(M15:M30)</f>
        <v>1.0007771232458325</v>
      </c>
      <c r="N31" s="122">
        <f>SUM(N15:N30)/360</f>
        <v>8.329473580017764</v>
      </c>
      <c r="O31" s="122">
        <f>SUM(O15:O30)/365</f>
        <v>8.208790337983523</v>
      </c>
      <c r="P31" s="123">
        <f>+N31/(1+$D$3/2)</f>
        <v>7.932831980969299</v>
      </c>
      <c r="Q31" s="123">
        <f>+O31/(1+D3/2)</f>
        <v>7.817895559984307</v>
      </c>
      <c r="T31" s="38">
        <v>33.3</v>
      </c>
    </row>
    <row r="32" spans="11:20" ht="15.75" thickBot="1">
      <c r="K32" s="124" t="s">
        <v>151</v>
      </c>
      <c r="L32" s="125">
        <f>+I31/365</f>
        <v>8.425328169270362</v>
      </c>
      <c r="M32" s="208"/>
      <c r="N32" s="208"/>
      <c r="T32" s="38">
        <f>+T31*(1+25%)</f>
        <v>41.625</v>
      </c>
    </row>
    <row r="33" ht="15.75" thickTop="1"/>
  </sheetData>
  <sheetProtection password="DCE5" sheet="1" objects="1" scenarios="1"/>
  <mergeCells count="8">
    <mergeCell ref="AA9:AB10"/>
    <mergeCell ref="A1:H1"/>
    <mergeCell ref="F9:G9"/>
    <mergeCell ref="F3:G3"/>
    <mergeCell ref="F4:G4"/>
    <mergeCell ref="F5:G5"/>
    <mergeCell ref="F6:G6"/>
    <mergeCell ref="F7:G7"/>
  </mergeCells>
  <conditionalFormatting sqref="X15:X18 V15:V18 Z15:Z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H3">
      <formula1>$AL$2:$AL$9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AC4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140625" style="38" customWidth="1"/>
    <col min="2" max="2" width="10.7109375" style="38" hidden="1" customWidth="1"/>
    <col min="3" max="3" width="7.421875" style="38" hidden="1" customWidth="1"/>
    <col min="4" max="4" width="10.7109375" style="38" customWidth="1"/>
    <col min="5" max="5" width="12.7109375" style="38" bestFit="1" customWidth="1"/>
    <col min="6" max="6" width="12.7109375" style="38" customWidth="1"/>
    <col min="7" max="7" width="13.28125" style="38" customWidth="1"/>
    <col min="8" max="8" width="15.140625" style="38" customWidth="1"/>
    <col min="9" max="10" width="11.421875" style="38" hidden="1" customWidth="1"/>
    <col min="11" max="12" width="15.421875" style="38" hidden="1" customWidth="1"/>
    <col min="13" max="13" width="8.140625" style="38" hidden="1" customWidth="1"/>
    <col min="14" max="14" width="10.57421875" style="38" hidden="1" customWidth="1"/>
    <col min="15" max="17" width="11.421875" style="38" hidden="1" customWidth="1"/>
    <col min="18" max="18" width="9.140625" style="38" customWidth="1"/>
    <col min="19" max="19" width="13.8515625" style="38" customWidth="1"/>
    <col min="20" max="20" width="14.28125" style="38" customWidth="1"/>
    <col min="21" max="28" width="9.140625" style="38" customWidth="1"/>
    <col min="29" max="29" width="0" style="38" hidden="1" customWidth="1"/>
    <col min="30" max="16384" width="9.140625" style="38" customWidth="1"/>
  </cols>
  <sheetData>
    <row r="1" spans="1:8" ht="16.5" thickBot="1">
      <c r="A1" s="262" t="s">
        <v>9</v>
      </c>
      <c r="B1" s="263"/>
      <c r="C1" s="263"/>
      <c r="D1" s="263"/>
      <c r="E1" s="263"/>
      <c r="F1" s="263"/>
      <c r="G1" s="263"/>
      <c r="H1" s="264"/>
    </row>
    <row r="2" ht="15.75" thickBot="1">
      <c r="AC2" s="38" t="s">
        <v>76</v>
      </c>
    </row>
    <row r="3" spans="1:29" ht="15">
      <c r="A3" s="64" t="s">
        <v>176</v>
      </c>
      <c r="B3" s="65"/>
      <c r="C3" s="65"/>
      <c r="D3" s="67">
        <f>+Reestructuracion!I4</f>
        <v>0.1</v>
      </c>
      <c r="F3" s="267" t="s">
        <v>141</v>
      </c>
      <c r="G3" s="268"/>
      <c r="H3" s="213" t="s">
        <v>76</v>
      </c>
      <c r="AC3" s="38" t="s">
        <v>104</v>
      </c>
    </row>
    <row r="4" spans="1:29" ht="15">
      <c r="A4" s="68" t="s">
        <v>194</v>
      </c>
      <c r="B4" s="69"/>
      <c r="C4" s="69"/>
      <c r="D4" s="71">
        <f>IF(Reestructuracion!$D$5="Actual/365",K43,J43)</f>
        <v>40.64515350556789</v>
      </c>
      <c r="F4" s="269" t="s">
        <v>143</v>
      </c>
      <c r="G4" s="270"/>
      <c r="H4" s="214">
        <v>100</v>
      </c>
      <c r="S4" s="109"/>
      <c r="AC4" s="38" t="s">
        <v>124</v>
      </c>
    </row>
    <row r="5" spans="1:29" ht="15">
      <c r="A5" s="72" t="s">
        <v>148</v>
      </c>
      <c r="B5" s="69"/>
      <c r="C5" s="69"/>
      <c r="D5" s="128">
        <f>IF(Reestructuracion!$D$5="Actual/365",O43,N43)</f>
        <v>12.07832283840762</v>
      </c>
      <c r="F5" s="269" t="s">
        <v>142</v>
      </c>
      <c r="G5" s="270"/>
      <c r="H5" s="92">
        <f>+H4*95/100</f>
        <v>95</v>
      </c>
      <c r="AC5" s="38" t="s">
        <v>81</v>
      </c>
    </row>
    <row r="6" spans="1:29" ht="15">
      <c r="A6" s="72" t="s">
        <v>149</v>
      </c>
      <c r="B6" s="69"/>
      <c r="C6" s="69"/>
      <c r="D6" s="129">
        <f>IF(Reestructuracion!$D$5="Actual/365",Q43,P43)</f>
        <v>11.503164608007257</v>
      </c>
      <c r="F6" s="269" t="s">
        <v>157</v>
      </c>
      <c r="G6" s="270"/>
      <c r="H6" s="93">
        <f>VLOOKUP(H3,Reestructuracion!$A$7:$D$23,4,FALSE)</f>
        <v>0</v>
      </c>
      <c r="AC6" s="38" t="s">
        <v>108</v>
      </c>
    </row>
    <row r="7" spans="1:29" ht="15.75" thickBot="1">
      <c r="A7" s="73" t="s">
        <v>191</v>
      </c>
      <c r="B7" s="74"/>
      <c r="C7" s="74"/>
      <c r="D7" s="76">
        <f>+Reestructuracion!D4</f>
        <v>43966</v>
      </c>
      <c r="F7" s="269" t="s">
        <v>197</v>
      </c>
      <c r="G7" s="270"/>
      <c r="H7" s="93">
        <f>+D4</f>
        <v>40.64515350556789</v>
      </c>
      <c r="AC7" s="38" t="s">
        <v>126</v>
      </c>
    </row>
    <row r="8" spans="6:29" ht="15">
      <c r="F8" s="197" t="s">
        <v>195</v>
      </c>
      <c r="G8" s="198"/>
      <c r="H8" s="93">
        <f>+H7*H5/100</f>
        <v>38.612895830289496</v>
      </c>
      <c r="S8" s="258" t="s">
        <v>198</v>
      </c>
      <c r="T8" s="259"/>
      <c r="AC8" s="38" t="s">
        <v>92</v>
      </c>
    </row>
    <row r="9" spans="6:29" ht="15.75" thickBot="1">
      <c r="F9" s="265" t="s">
        <v>196</v>
      </c>
      <c r="G9" s="266"/>
      <c r="H9" s="58">
        <f>IF(H6=0,"",+((H7/H4*H5)-H6)/H6)</f>
      </c>
      <c r="S9" s="260"/>
      <c r="T9" s="261"/>
      <c r="AC9" s="38" t="s">
        <v>97</v>
      </c>
    </row>
    <row r="10" spans="6:29" ht="15">
      <c r="F10" s="77"/>
      <c r="G10" s="77"/>
      <c r="AC10" s="38" t="s">
        <v>87</v>
      </c>
    </row>
    <row r="11" spans="1:29" ht="15">
      <c r="A11" s="78" t="s">
        <v>15</v>
      </c>
      <c r="F11" s="77"/>
      <c r="G11" s="77"/>
      <c r="AC11" s="38" t="s">
        <v>128</v>
      </c>
    </row>
    <row r="12" spans="6:29" ht="8.25" customHeight="1" thickBot="1">
      <c r="F12" s="77"/>
      <c r="G12" s="77"/>
      <c r="AC12" s="38" t="s">
        <v>140</v>
      </c>
    </row>
    <row r="13" spans="1:17" ht="45.75" thickBot="1">
      <c r="A13" s="215" t="s">
        <v>16</v>
      </c>
      <c r="B13" s="215" t="s">
        <v>21</v>
      </c>
      <c r="C13" s="215" t="s">
        <v>150</v>
      </c>
      <c r="D13" s="215" t="s">
        <v>6</v>
      </c>
      <c r="E13" s="215" t="s">
        <v>17</v>
      </c>
      <c r="F13" s="215" t="s">
        <v>19</v>
      </c>
      <c r="G13" s="215" t="s">
        <v>18</v>
      </c>
      <c r="H13" s="215" t="s">
        <v>20</v>
      </c>
      <c r="I13" s="94" t="s">
        <v>152</v>
      </c>
      <c r="J13" s="79" t="s">
        <v>210</v>
      </c>
      <c r="K13" s="79" t="s">
        <v>211</v>
      </c>
      <c r="L13" s="79" t="s">
        <v>213</v>
      </c>
      <c r="M13" s="79" t="s">
        <v>212</v>
      </c>
      <c r="N13" s="79" t="s">
        <v>217</v>
      </c>
      <c r="O13" s="79" t="s">
        <v>216</v>
      </c>
      <c r="P13" s="79" t="s">
        <v>215</v>
      </c>
      <c r="Q13" s="79" t="s">
        <v>214</v>
      </c>
    </row>
    <row r="14" spans="1:17" ht="15">
      <c r="A14" s="132">
        <v>44880</v>
      </c>
      <c r="B14" s="133"/>
      <c r="C14" s="133"/>
      <c r="D14" s="65"/>
      <c r="E14" s="65"/>
      <c r="F14" s="65"/>
      <c r="G14" s="65"/>
      <c r="H14" s="134"/>
      <c r="I14" s="135"/>
      <c r="J14" s="65"/>
      <c r="K14" s="65"/>
      <c r="L14" s="65"/>
      <c r="M14" s="65"/>
      <c r="N14" s="65"/>
      <c r="O14" s="65"/>
      <c r="P14" s="223"/>
      <c r="Q14" s="134"/>
    </row>
    <row r="15" spans="1:17" ht="15">
      <c r="A15" s="84">
        <v>45061</v>
      </c>
      <c r="B15" s="85">
        <f>+A15-A14</f>
        <v>181</v>
      </c>
      <c r="C15" s="85">
        <f aca="true" t="shared" si="0" ref="C15:C42">+A15-$D$7</f>
        <v>1095</v>
      </c>
      <c r="D15" s="136">
        <v>100</v>
      </c>
      <c r="E15" s="136"/>
      <c r="F15" s="70">
        <v>0.005</v>
      </c>
      <c r="G15" s="137">
        <f>+D15*F15/2</f>
        <v>0.25</v>
      </c>
      <c r="H15" s="138">
        <f>+G15+E15</f>
        <v>0.25</v>
      </c>
      <c r="I15" s="99">
        <f>+H15*C15</f>
        <v>273.75</v>
      </c>
      <c r="J15" s="100">
        <f aca="true" t="shared" si="1" ref="J15:J42">H15/((1+$D$3)^(DAYS360($D$7,A15)/360))</f>
        <v>0.18782870022539438</v>
      </c>
      <c r="K15" s="100">
        <f aca="true" t="shared" si="2" ref="K15:K42">H15/((1+$D$3)^(C15/365))</f>
        <v>0.18782870022539438</v>
      </c>
      <c r="L15" s="101">
        <f aca="true" t="shared" si="3" ref="L15:M42">+J15/$D$4</f>
        <v>0.004621183192226452</v>
      </c>
      <c r="M15" s="101">
        <f>+K15/$D$4</f>
        <v>0.004621183192226452</v>
      </c>
      <c r="N15" s="102">
        <f>+L15*C15</f>
        <v>5.060195595487965</v>
      </c>
      <c r="O15" s="102">
        <f>+M15*C15</f>
        <v>5.060195595487965</v>
      </c>
      <c r="P15" s="210"/>
      <c r="Q15" s="92"/>
    </row>
    <row r="16" spans="1:17" ht="15">
      <c r="A16" s="84">
        <v>45245</v>
      </c>
      <c r="B16" s="85">
        <f aca="true" t="shared" si="4" ref="B16:B42">+A16-A15</f>
        <v>184</v>
      </c>
      <c r="C16" s="85">
        <f t="shared" si="0"/>
        <v>1279</v>
      </c>
      <c r="D16" s="136">
        <f>+D15-E16</f>
        <v>100</v>
      </c>
      <c r="E16" s="136"/>
      <c r="F16" s="70">
        <v>0.005</v>
      </c>
      <c r="G16" s="137">
        <f>+D15*F16/2</f>
        <v>0.25</v>
      </c>
      <c r="H16" s="138">
        <f aca="true" t="shared" si="5" ref="H16:H42">+G16+E16</f>
        <v>0.25</v>
      </c>
      <c r="I16" s="99">
        <f aca="true" t="shared" si="6" ref="I16:I42">+H16*C16</f>
        <v>319.75</v>
      </c>
      <c r="J16" s="100">
        <f t="shared" si="1"/>
        <v>0.17908763885153872</v>
      </c>
      <c r="K16" s="100">
        <f t="shared" si="2"/>
        <v>0.17901750652545984</v>
      </c>
      <c r="L16" s="101">
        <f t="shared" si="3"/>
        <v>0.004406125291838445</v>
      </c>
      <c r="M16" s="101">
        <f t="shared" si="3"/>
        <v>0.004404399813644119</v>
      </c>
      <c r="N16" s="102">
        <f aca="true" t="shared" si="7" ref="N16:N42">+L16*C16</f>
        <v>5.6354342482613715</v>
      </c>
      <c r="O16" s="102">
        <f aca="true" t="shared" si="8" ref="O16:O42">+M16*C16</f>
        <v>5.633227361650828</v>
      </c>
      <c r="P16" s="210"/>
      <c r="Q16" s="92"/>
    </row>
    <row r="17" spans="1:17" ht="15">
      <c r="A17" s="84">
        <v>45427</v>
      </c>
      <c r="B17" s="85">
        <f t="shared" si="4"/>
        <v>182</v>
      </c>
      <c r="C17" s="85">
        <f t="shared" si="0"/>
        <v>1461</v>
      </c>
      <c r="D17" s="136">
        <f aca="true" t="shared" si="9" ref="D17:D42">+D16-E17</f>
        <v>100</v>
      </c>
      <c r="E17" s="136"/>
      <c r="F17" s="70">
        <v>0.015</v>
      </c>
      <c r="G17" s="137">
        <f aca="true" t="shared" si="10" ref="G17:G42">+D16*F17/2</f>
        <v>0.75</v>
      </c>
      <c r="H17" s="138">
        <f t="shared" si="5"/>
        <v>0.75</v>
      </c>
      <c r="I17" s="99">
        <f t="shared" si="6"/>
        <v>1095.75</v>
      </c>
      <c r="J17" s="100">
        <f t="shared" si="1"/>
        <v>0.5122600915238029</v>
      </c>
      <c r="K17" s="100">
        <f t="shared" si="2"/>
        <v>0.5121263456950828</v>
      </c>
      <c r="L17" s="101">
        <f t="shared" si="3"/>
        <v>0.012603226887890324</v>
      </c>
      <c r="M17" s="101">
        <f t="shared" si="3"/>
        <v>0.012599936315283633</v>
      </c>
      <c r="N17" s="102">
        <f t="shared" si="7"/>
        <v>18.413314483207763</v>
      </c>
      <c r="O17" s="102">
        <f t="shared" si="8"/>
        <v>18.408506956629388</v>
      </c>
      <c r="P17" s="210"/>
      <c r="Q17" s="92"/>
    </row>
    <row r="18" spans="1:17" ht="15">
      <c r="A18" s="84">
        <v>45611</v>
      </c>
      <c r="B18" s="85">
        <f t="shared" si="4"/>
        <v>184</v>
      </c>
      <c r="C18" s="85">
        <f t="shared" si="0"/>
        <v>1645</v>
      </c>
      <c r="D18" s="136">
        <f t="shared" si="9"/>
        <v>100</v>
      </c>
      <c r="E18" s="136"/>
      <c r="F18" s="70">
        <v>0.015</v>
      </c>
      <c r="G18" s="137">
        <f t="shared" si="10"/>
        <v>0.75</v>
      </c>
      <c r="H18" s="138">
        <f t="shared" si="5"/>
        <v>0.75</v>
      </c>
      <c r="I18" s="99">
        <f t="shared" si="6"/>
        <v>1233.75</v>
      </c>
      <c r="J18" s="100">
        <f t="shared" si="1"/>
        <v>0.4884208332314692</v>
      </c>
      <c r="K18" s="100">
        <f t="shared" si="2"/>
        <v>0.48810209154572176</v>
      </c>
      <c r="L18" s="101">
        <f t="shared" si="3"/>
        <v>0.012016705341377576</v>
      </c>
      <c r="M18" s="101">
        <f t="shared" si="3"/>
        <v>0.012008863282527834</v>
      </c>
      <c r="N18" s="102">
        <f t="shared" si="7"/>
        <v>19.767480286566112</v>
      </c>
      <c r="O18" s="102">
        <f t="shared" si="8"/>
        <v>19.754580099758286</v>
      </c>
      <c r="P18" s="210"/>
      <c r="Q18" s="92"/>
    </row>
    <row r="19" spans="1:17" ht="15">
      <c r="A19" s="84">
        <v>45792</v>
      </c>
      <c r="B19" s="85">
        <f t="shared" si="4"/>
        <v>181</v>
      </c>
      <c r="C19" s="85">
        <f t="shared" si="0"/>
        <v>1826</v>
      </c>
      <c r="D19" s="136">
        <f t="shared" si="9"/>
        <v>100</v>
      </c>
      <c r="E19" s="136"/>
      <c r="F19" s="70">
        <v>0.015</v>
      </c>
      <c r="G19" s="137">
        <f t="shared" si="10"/>
        <v>0.75</v>
      </c>
      <c r="H19" s="138">
        <f t="shared" si="5"/>
        <v>0.75</v>
      </c>
      <c r="I19" s="99">
        <f t="shared" si="6"/>
        <v>1369.5</v>
      </c>
      <c r="J19" s="100">
        <f t="shared" si="1"/>
        <v>0.4656909922943662</v>
      </c>
      <c r="K19" s="100">
        <f t="shared" si="2"/>
        <v>0.4655694051773479</v>
      </c>
      <c r="L19" s="101">
        <f t="shared" si="3"/>
        <v>0.011457478988991203</v>
      </c>
      <c r="M19" s="101">
        <f t="shared" si="3"/>
        <v>0.011454487559348756</v>
      </c>
      <c r="N19" s="102">
        <f t="shared" si="7"/>
        <v>20.921356633897936</v>
      </c>
      <c r="O19" s="102">
        <f t="shared" si="8"/>
        <v>20.91589428337083</v>
      </c>
      <c r="P19" s="210"/>
      <c r="Q19" s="92"/>
    </row>
    <row r="20" spans="1:17" ht="15">
      <c r="A20" s="84">
        <v>45976</v>
      </c>
      <c r="B20" s="85">
        <f t="shared" si="4"/>
        <v>184</v>
      </c>
      <c r="C20" s="85">
        <f t="shared" si="0"/>
        <v>2010</v>
      </c>
      <c r="D20" s="136">
        <f t="shared" si="9"/>
        <v>100</v>
      </c>
      <c r="E20" s="136"/>
      <c r="F20" s="70">
        <v>0.015</v>
      </c>
      <c r="G20" s="137">
        <f t="shared" si="10"/>
        <v>0.75</v>
      </c>
      <c r="H20" s="138">
        <f t="shared" si="5"/>
        <v>0.75</v>
      </c>
      <c r="I20" s="99">
        <f t="shared" si="6"/>
        <v>1507.5</v>
      </c>
      <c r="J20" s="100">
        <f t="shared" si="1"/>
        <v>0.4440189393013356</v>
      </c>
      <c r="K20" s="100">
        <f t="shared" si="2"/>
        <v>0.4437291741324743</v>
      </c>
      <c r="L20" s="101">
        <f t="shared" si="3"/>
        <v>0.010924277583070524</v>
      </c>
      <c r="M20" s="101">
        <f t="shared" si="3"/>
        <v>0.010917148438661668</v>
      </c>
      <c r="N20" s="102">
        <f t="shared" si="7"/>
        <v>21.95779794197175</v>
      </c>
      <c r="O20" s="102">
        <f t="shared" si="8"/>
        <v>21.94346836170995</v>
      </c>
      <c r="P20" s="210"/>
      <c r="Q20" s="92"/>
    </row>
    <row r="21" spans="1:17" ht="15">
      <c r="A21" s="84">
        <v>46157</v>
      </c>
      <c r="B21" s="85">
        <f t="shared" si="4"/>
        <v>181</v>
      </c>
      <c r="C21" s="85">
        <f t="shared" si="0"/>
        <v>2191</v>
      </c>
      <c r="D21" s="136">
        <f t="shared" si="9"/>
        <v>100</v>
      </c>
      <c r="E21" s="136"/>
      <c r="F21" s="70">
        <v>0.0275</v>
      </c>
      <c r="G21" s="137">
        <f t="shared" si="10"/>
        <v>1.375</v>
      </c>
      <c r="H21" s="138">
        <f t="shared" si="5"/>
        <v>1.375</v>
      </c>
      <c r="I21" s="99">
        <f t="shared" si="6"/>
        <v>3012.625</v>
      </c>
      <c r="J21" s="100">
        <f t="shared" si="1"/>
        <v>0.7761516538239436</v>
      </c>
      <c r="K21" s="100">
        <f t="shared" si="2"/>
        <v>0.7759490086289131</v>
      </c>
      <c r="L21" s="101">
        <f t="shared" si="3"/>
        <v>0.019095798314985334</v>
      </c>
      <c r="M21" s="101">
        <f t="shared" si="3"/>
        <v>0.019090812598914594</v>
      </c>
      <c r="N21" s="102">
        <f t="shared" si="7"/>
        <v>41.83889410813286</v>
      </c>
      <c r="O21" s="102">
        <f t="shared" si="8"/>
        <v>41.82797040422187</v>
      </c>
      <c r="P21" s="210"/>
      <c r="Q21" s="92"/>
    </row>
    <row r="22" spans="1:17" ht="15">
      <c r="A22" s="84">
        <v>46341</v>
      </c>
      <c r="B22" s="85">
        <f t="shared" si="4"/>
        <v>184</v>
      </c>
      <c r="C22" s="85">
        <f t="shared" si="0"/>
        <v>2375</v>
      </c>
      <c r="D22" s="136">
        <f t="shared" si="9"/>
        <v>100</v>
      </c>
      <c r="E22" s="136"/>
      <c r="F22" s="70">
        <v>0.0275</v>
      </c>
      <c r="G22" s="137">
        <f t="shared" si="10"/>
        <v>1.375</v>
      </c>
      <c r="H22" s="138">
        <f t="shared" si="5"/>
        <v>1.375</v>
      </c>
      <c r="I22" s="99">
        <f t="shared" si="6"/>
        <v>3265.625</v>
      </c>
      <c r="J22" s="100">
        <f t="shared" si="1"/>
        <v>0.7400315655022259</v>
      </c>
      <c r="K22" s="100">
        <f t="shared" si="2"/>
        <v>0.7395486235541238</v>
      </c>
      <c r="L22" s="101">
        <f t="shared" si="3"/>
        <v>0.018207129305117538</v>
      </c>
      <c r="M22" s="101">
        <f t="shared" si="3"/>
        <v>0.018195247397769444</v>
      </c>
      <c r="N22" s="102">
        <f t="shared" si="7"/>
        <v>43.24193209965415</v>
      </c>
      <c r="O22" s="102">
        <f t="shared" si="8"/>
        <v>43.21371256970243</v>
      </c>
      <c r="P22" s="210"/>
      <c r="Q22" s="92"/>
    </row>
    <row r="23" spans="1:17" ht="15">
      <c r="A23" s="84">
        <v>46522</v>
      </c>
      <c r="B23" s="85">
        <f t="shared" si="4"/>
        <v>181</v>
      </c>
      <c r="C23" s="85">
        <f t="shared" si="0"/>
        <v>2556</v>
      </c>
      <c r="D23" s="136">
        <f t="shared" si="9"/>
        <v>100</v>
      </c>
      <c r="E23" s="136"/>
      <c r="F23" s="70">
        <v>0.0275</v>
      </c>
      <c r="G23" s="137">
        <f t="shared" si="10"/>
        <v>1.375</v>
      </c>
      <c r="H23" s="138">
        <f t="shared" si="5"/>
        <v>1.375</v>
      </c>
      <c r="I23" s="99">
        <f t="shared" si="6"/>
        <v>3514.5</v>
      </c>
      <c r="J23" s="100">
        <f t="shared" si="1"/>
        <v>0.7055924125672214</v>
      </c>
      <c r="K23" s="100">
        <f t="shared" si="2"/>
        <v>0.7054081896626483</v>
      </c>
      <c r="L23" s="101">
        <f t="shared" si="3"/>
        <v>0.017359816649986665</v>
      </c>
      <c r="M23" s="101">
        <f t="shared" si="3"/>
        <v>0.01735528418083145</v>
      </c>
      <c r="N23" s="102">
        <f t="shared" si="7"/>
        <v>44.37169135736592</v>
      </c>
      <c r="O23" s="102">
        <f t="shared" si="8"/>
        <v>44.36010636620519</v>
      </c>
      <c r="P23" s="210"/>
      <c r="Q23" s="92"/>
    </row>
    <row r="24" spans="1:17" ht="15">
      <c r="A24" s="84">
        <v>46706</v>
      </c>
      <c r="B24" s="85">
        <f t="shared" si="4"/>
        <v>184</v>
      </c>
      <c r="C24" s="85">
        <f t="shared" si="0"/>
        <v>2740</v>
      </c>
      <c r="D24" s="136">
        <f t="shared" si="9"/>
        <v>100</v>
      </c>
      <c r="E24" s="136"/>
      <c r="F24" s="70">
        <v>0.0275</v>
      </c>
      <c r="G24" s="137">
        <f t="shared" si="10"/>
        <v>1.375</v>
      </c>
      <c r="H24" s="138">
        <f t="shared" si="5"/>
        <v>1.375</v>
      </c>
      <c r="I24" s="99">
        <f t="shared" si="6"/>
        <v>3767.5</v>
      </c>
      <c r="J24" s="100">
        <f t="shared" si="1"/>
        <v>0.672755968638387</v>
      </c>
      <c r="K24" s="100">
        <f t="shared" si="2"/>
        <v>0.6723169305037487</v>
      </c>
      <c r="L24" s="101">
        <f t="shared" si="3"/>
        <v>0.01655193573192503</v>
      </c>
      <c r="M24" s="101">
        <f t="shared" si="3"/>
        <v>0.01654113399797222</v>
      </c>
      <c r="N24" s="102">
        <f t="shared" si="7"/>
        <v>45.352303905474585</v>
      </c>
      <c r="O24" s="102">
        <f t="shared" si="8"/>
        <v>45.322707154443876</v>
      </c>
      <c r="P24" s="210"/>
      <c r="Q24" s="92"/>
    </row>
    <row r="25" spans="1:17" ht="15">
      <c r="A25" s="84">
        <v>46888</v>
      </c>
      <c r="B25" s="85">
        <f t="shared" si="4"/>
        <v>182</v>
      </c>
      <c r="C25" s="85">
        <f t="shared" si="0"/>
        <v>2922</v>
      </c>
      <c r="D25" s="136">
        <f t="shared" si="9"/>
        <v>100</v>
      </c>
      <c r="E25" s="136"/>
      <c r="F25" s="139">
        <v>0.03875</v>
      </c>
      <c r="G25" s="137">
        <f t="shared" si="10"/>
        <v>1.9375</v>
      </c>
      <c r="H25" s="138">
        <f t="shared" si="5"/>
        <v>1.9375</v>
      </c>
      <c r="I25" s="99">
        <f t="shared" si="6"/>
        <v>5661.375</v>
      </c>
      <c r="J25" s="100">
        <f t="shared" si="1"/>
        <v>0.903858049156358</v>
      </c>
      <c r="K25" s="100">
        <f t="shared" si="2"/>
        <v>0.903386134733887</v>
      </c>
      <c r="L25" s="101">
        <f t="shared" si="3"/>
        <v>0.022237781659073832</v>
      </c>
      <c r="M25" s="101">
        <f t="shared" si="3"/>
        <v>0.022226171063916243</v>
      </c>
      <c r="N25" s="102">
        <f t="shared" si="7"/>
        <v>64.97879800781374</v>
      </c>
      <c r="O25" s="102">
        <f t="shared" si="8"/>
        <v>64.94487184876326</v>
      </c>
      <c r="P25" s="210"/>
      <c r="Q25" s="92"/>
    </row>
    <row r="26" spans="1:17" ht="15">
      <c r="A26" s="84">
        <v>47072</v>
      </c>
      <c r="B26" s="85">
        <f t="shared" si="4"/>
        <v>184</v>
      </c>
      <c r="C26" s="85">
        <f t="shared" si="0"/>
        <v>3106</v>
      </c>
      <c r="D26" s="136">
        <f t="shared" si="9"/>
        <v>100</v>
      </c>
      <c r="E26" s="136"/>
      <c r="F26" s="139">
        <v>0.03875</v>
      </c>
      <c r="G26" s="137">
        <f t="shared" si="10"/>
        <v>1.9375</v>
      </c>
      <c r="H26" s="138">
        <f t="shared" si="5"/>
        <v>1.9375</v>
      </c>
      <c r="I26" s="99">
        <f t="shared" si="6"/>
        <v>6017.875</v>
      </c>
      <c r="J26" s="100">
        <f t="shared" si="1"/>
        <v>0.8617948358590908</v>
      </c>
      <c r="K26" s="100">
        <f t="shared" si="2"/>
        <v>0.8610075727280615</v>
      </c>
      <c r="L26" s="101">
        <f t="shared" si="3"/>
        <v>0.021202892879738672</v>
      </c>
      <c r="M26" s="101">
        <f t="shared" si="3"/>
        <v>0.021183523703757545</v>
      </c>
      <c r="N26" s="102">
        <f t="shared" si="7"/>
        <v>65.85618528446831</v>
      </c>
      <c r="O26" s="102">
        <f t="shared" si="8"/>
        <v>65.79602462387093</v>
      </c>
      <c r="P26" s="210"/>
      <c r="Q26" s="92"/>
    </row>
    <row r="27" spans="1:17" ht="15">
      <c r="A27" s="84">
        <v>47253</v>
      </c>
      <c r="B27" s="85">
        <f t="shared" si="4"/>
        <v>181</v>
      </c>
      <c r="C27" s="85">
        <f t="shared" si="0"/>
        <v>3287</v>
      </c>
      <c r="D27" s="136">
        <f t="shared" si="9"/>
        <v>100</v>
      </c>
      <c r="E27" s="136"/>
      <c r="F27" s="139">
        <v>0.03875</v>
      </c>
      <c r="G27" s="137">
        <f t="shared" si="10"/>
        <v>1.9375</v>
      </c>
      <c r="H27" s="138">
        <f t="shared" si="5"/>
        <v>1.9375</v>
      </c>
      <c r="I27" s="99">
        <f t="shared" si="6"/>
        <v>6368.5625</v>
      </c>
      <c r="J27" s="100">
        <f t="shared" si="1"/>
        <v>0.821689135596689</v>
      </c>
      <c r="K27" s="100">
        <f t="shared" si="2"/>
        <v>0.8212601224853516</v>
      </c>
      <c r="L27" s="101">
        <f t="shared" si="3"/>
        <v>0.02021616514461257</v>
      </c>
      <c r="M27" s="101">
        <f t="shared" si="3"/>
        <v>0.020205610058105672</v>
      </c>
      <c r="N27" s="102">
        <f t="shared" si="7"/>
        <v>66.45053483034151</v>
      </c>
      <c r="O27" s="102">
        <f t="shared" si="8"/>
        <v>66.41584026099335</v>
      </c>
      <c r="P27" s="210"/>
      <c r="Q27" s="92"/>
    </row>
    <row r="28" spans="1:17" ht="15">
      <c r="A28" s="84">
        <v>47437</v>
      </c>
      <c r="B28" s="85">
        <f t="shared" si="4"/>
        <v>184</v>
      </c>
      <c r="C28" s="85">
        <f t="shared" si="0"/>
        <v>3471</v>
      </c>
      <c r="D28" s="136">
        <f t="shared" si="9"/>
        <v>100</v>
      </c>
      <c r="E28" s="136"/>
      <c r="F28" s="139">
        <v>0.03875</v>
      </c>
      <c r="G28" s="137">
        <f t="shared" si="10"/>
        <v>1.9375</v>
      </c>
      <c r="H28" s="138">
        <f t="shared" si="5"/>
        <v>1.9375</v>
      </c>
      <c r="I28" s="99">
        <f t="shared" si="6"/>
        <v>6725.0625</v>
      </c>
      <c r="J28" s="100">
        <f t="shared" si="1"/>
        <v>0.7834498507809917</v>
      </c>
      <c r="K28" s="100">
        <f t="shared" si="2"/>
        <v>0.7827341570255104</v>
      </c>
      <c r="L28" s="101">
        <f t="shared" si="3"/>
        <v>0.019275357163398794</v>
      </c>
      <c r="M28" s="101">
        <f t="shared" si="3"/>
        <v>0.019257748821597767</v>
      </c>
      <c r="N28" s="102">
        <f t="shared" si="7"/>
        <v>66.90476471415721</v>
      </c>
      <c r="O28" s="102">
        <f t="shared" si="8"/>
        <v>66.84364615976585</v>
      </c>
      <c r="P28" s="210"/>
      <c r="Q28" s="92"/>
    </row>
    <row r="29" spans="1:17" ht="15">
      <c r="A29" s="84">
        <v>47618</v>
      </c>
      <c r="B29" s="85">
        <f t="shared" si="4"/>
        <v>181</v>
      </c>
      <c r="C29" s="85">
        <f t="shared" si="0"/>
        <v>3652</v>
      </c>
      <c r="D29" s="136">
        <f t="shared" si="9"/>
        <v>100</v>
      </c>
      <c r="E29" s="136"/>
      <c r="F29" s="139">
        <v>0.03875</v>
      </c>
      <c r="G29" s="137">
        <f t="shared" si="10"/>
        <v>1.9375</v>
      </c>
      <c r="H29" s="138">
        <f t="shared" si="5"/>
        <v>1.9375</v>
      </c>
      <c r="I29" s="99">
        <f t="shared" si="6"/>
        <v>7075.75</v>
      </c>
      <c r="J29" s="100">
        <f t="shared" si="1"/>
        <v>0.7469901232697173</v>
      </c>
      <c r="K29" s="100">
        <f t="shared" si="2"/>
        <v>0.7466001113503197</v>
      </c>
      <c r="L29" s="101">
        <f t="shared" si="3"/>
        <v>0.018378331949647792</v>
      </c>
      <c r="M29" s="101">
        <f t="shared" si="3"/>
        <v>0.018368736416459704</v>
      </c>
      <c r="N29" s="102">
        <f t="shared" si="7"/>
        <v>67.11766828011373</v>
      </c>
      <c r="O29" s="102">
        <f t="shared" si="8"/>
        <v>67.08262539291084</v>
      </c>
      <c r="P29" s="210"/>
      <c r="Q29" s="92"/>
    </row>
    <row r="30" spans="1:17" ht="15">
      <c r="A30" s="84">
        <v>47802</v>
      </c>
      <c r="B30" s="85">
        <f t="shared" si="4"/>
        <v>184</v>
      </c>
      <c r="C30" s="85">
        <f t="shared" si="0"/>
        <v>3836</v>
      </c>
      <c r="D30" s="136">
        <f t="shared" si="9"/>
        <v>100</v>
      </c>
      <c r="E30" s="136"/>
      <c r="F30" s="139">
        <v>0.03875</v>
      </c>
      <c r="G30" s="137">
        <f t="shared" si="10"/>
        <v>1.9375</v>
      </c>
      <c r="H30" s="138">
        <f t="shared" si="5"/>
        <v>1.9375</v>
      </c>
      <c r="I30" s="99">
        <f t="shared" si="6"/>
        <v>7432.25</v>
      </c>
      <c r="J30" s="100">
        <f t="shared" si="1"/>
        <v>0.7122271370736287</v>
      </c>
      <c r="K30" s="100">
        <f t="shared" si="2"/>
        <v>0.7115765063868277</v>
      </c>
      <c r="L30" s="101">
        <f t="shared" si="3"/>
        <v>0.017523051966726176</v>
      </c>
      <c r="M30" s="101">
        <f t="shared" si="3"/>
        <v>0.0175070443832707</v>
      </c>
      <c r="N30" s="102">
        <f t="shared" si="7"/>
        <v>67.21842734436161</v>
      </c>
      <c r="O30" s="102">
        <f t="shared" si="8"/>
        <v>67.1570222542264</v>
      </c>
      <c r="P30" s="210"/>
      <c r="Q30" s="92"/>
    </row>
    <row r="31" spans="1:17" ht="15">
      <c r="A31" s="84">
        <v>47983</v>
      </c>
      <c r="B31" s="85">
        <f t="shared" si="4"/>
        <v>181</v>
      </c>
      <c r="C31" s="85">
        <f t="shared" si="0"/>
        <v>4017</v>
      </c>
      <c r="D31" s="136">
        <f t="shared" si="9"/>
        <v>100</v>
      </c>
      <c r="E31" s="136"/>
      <c r="F31" s="140">
        <v>0.03875</v>
      </c>
      <c r="G31" s="137">
        <f t="shared" si="10"/>
        <v>1.9375</v>
      </c>
      <c r="H31" s="138">
        <f t="shared" si="5"/>
        <v>1.9375</v>
      </c>
      <c r="I31" s="99">
        <f t="shared" si="6"/>
        <v>7782.9375</v>
      </c>
      <c r="J31" s="100">
        <f t="shared" si="1"/>
        <v>0.6790819302451974</v>
      </c>
      <c r="K31" s="100">
        <f t="shared" si="2"/>
        <v>0.678727373954836</v>
      </c>
      <c r="L31" s="101">
        <f t="shared" si="3"/>
        <v>0.016707574499679807</v>
      </c>
      <c r="M31" s="101">
        <f t="shared" si="3"/>
        <v>0.016698851287690636</v>
      </c>
      <c r="N31" s="102">
        <f t="shared" si="7"/>
        <v>67.11432676521379</v>
      </c>
      <c r="O31" s="102">
        <f t="shared" si="8"/>
        <v>67.07928562265329</v>
      </c>
      <c r="P31" s="210"/>
      <c r="Q31" s="92"/>
    </row>
    <row r="32" spans="1:17" ht="15">
      <c r="A32" s="84">
        <v>48167</v>
      </c>
      <c r="B32" s="85">
        <f t="shared" si="4"/>
        <v>184</v>
      </c>
      <c r="C32" s="85">
        <f t="shared" si="0"/>
        <v>4201</v>
      </c>
      <c r="D32" s="136">
        <f t="shared" si="9"/>
        <v>83.33333333333333</v>
      </c>
      <c r="E32" s="136">
        <f>100/6</f>
        <v>16.666666666666668</v>
      </c>
      <c r="F32" s="140">
        <v>0.03875</v>
      </c>
      <c r="G32" s="137">
        <f t="shared" si="10"/>
        <v>1.9375</v>
      </c>
      <c r="H32" s="138">
        <f t="shared" si="5"/>
        <v>18.604166666666668</v>
      </c>
      <c r="I32" s="99">
        <f t="shared" si="6"/>
        <v>78156.10416666667</v>
      </c>
      <c r="J32" s="100">
        <f t="shared" si="1"/>
        <v>6.21719289742669</v>
      </c>
      <c r="K32" s="100">
        <f t="shared" si="2"/>
        <v>6.211513393972992</v>
      </c>
      <c r="L32" s="101">
        <f t="shared" si="3"/>
        <v>0.15296271169390493</v>
      </c>
      <c r="M32" s="101">
        <f t="shared" si="3"/>
        <v>0.15282297785201107</v>
      </c>
      <c r="N32" s="102">
        <f t="shared" si="7"/>
        <v>642.5963518260946</v>
      </c>
      <c r="O32" s="102">
        <f t="shared" si="8"/>
        <v>642.0093299562985</v>
      </c>
      <c r="P32" s="210"/>
      <c r="Q32" s="92"/>
    </row>
    <row r="33" spans="1:17" ht="15">
      <c r="A33" s="84">
        <v>48349</v>
      </c>
      <c r="B33" s="85">
        <f t="shared" si="4"/>
        <v>182</v>
      </c>
      <c r="C33" s="85">
        <f t="shared" si="0"/>
        <v>4383</v>
      </c>
      <c r="D33" s="136">
        <f t="shared" si="9"/>
        <v>83.33333333333333</v>
      </c>
      <c r="E33" s="136"/>
      <c r="F33" s="140">
        <v>0.03875</v>
      </c>
      <c r="G33" s="137">
        <f t="shared" si="10"/>
        <v>1.6145833333333333</v>
      </c>
      <c r="H33" s="138">
        <f t="shared" si="5"/>
        <v>1.6145833333333333</v>
      </c>
      <c r="I33" s="99">
        <f t="shared" si="6"/>
        <v>7076.71875</v>
      </c>
      <c r="J33" s="100">
        <f t="shared" si="1"/>
        <v>0.5144560077615131</v>
      </c>
      <c r="K33" s="100">
        <f t="shared" si="2"/>
        <v>0.514053155480968</v>
      </c>
      <c r="L33" s="101">
        <f t="shared" si="3"/>
        <v>0.012657253408848337</v>
      </c>
      <c r="M33" s="101">
        <f t="shared" si="3"/>
        <v>0.012647341961952462</v>
      </c>
      <c r="N33" s="102">
        <f t="shared" si="7"/>
        <v>55.476741690982266</v>
      </c>
      <c r="O33" s="102">
        <f t="shared" si="8"/>
        <v>55.43329981923764</v>
      </c>
      <c r="P33" s="210"/>
      <c r="Q33" s="92"/>
    </row>
    <row r="34" spans="1:17" ht="15">
      <c r="A34" s="84">
        <v>48533</v>
      </c>
      <c r="B34" s="85">
        <f t="shared" si="4"/>
        <v>184</v>
      </c>
      <c r="C34" s="85">
        <f t="shared" si="0"/>
        <v>4567</v>
      </c>
      <c r="D34" s="136">
        <f t="shared" si="9"/>
        <v>66.66666666666666</v>
      </c>
      <c r="E34" s="136">
        <f>100/6</f>
        <v>16.666666666666668</v>
      </c>
      <c r="F34" s="140">
        <v>0.03875</v>
      </c>
      <c r="G34" s="137">
        <f t="shared" si="10"/>
        <v>1.6145833333333333</v>
      </c>
      <c r="H34" s="138">
        <f t="shared" si="5"/>
        <v>18.28125</v>
      </c>
      <c r="I34" s="99">
        <f t="shared" si="6"/>
        <v>83490.46875</v>
      </c>
      <c r="J34" s="100">
        <f t="shared" si="1"/>
        <v>5.553890631672524</v>
      </c>
      <c r="K34" s="100">
        <f t="shared" si="2"/>
        <v>5.547368326336645</v>
      </c>
      <c r="L34" s="101">
        <f t="shared" si="3"/>
        <v>0.13664336710923503</v>
      </c>
      <c r="M34" s="101">
        <f t="shared" si="3"/>
        <v>0.1364828976615065</v>
      </c>
      <c r="N34" s="102">
        <f t="shared" si="7"/>
        <v>624.0502575878763</v>
      </c>
      <c r="O34" s="102">
        <f t="shared" si="8"/>
        <v>623.3173936201002</v>
      </c>
      <c r="P34" s="210"/>
      <c r="Q34" s="92"/>
    </row>
    <row r="35" spans="1:17" ht="15">
      <c r="A35" s="84">
        <v>48714</v>
      </c>
      <c r="B35" s="85">
        <f t="shared" si="4"/>
        <v>181</v>
      </c>
      <c r="C35" s="85">
        <f t="shared" si="0"/>
        <v>4748</v>
      </c>
      <c r="D35" s="136">
        <f t="shared" si="9"/>
        <v>66.66666666666666</v>
      </c>
      <c r="E35" s="136"/>
      <c r="F35" s="140">
        <v>0.03875</v>
      </c>
      <c r="G35" s="137">
        <f t="shared" si="10"/>
        <v>1.2916666666666665</v>
      </c>
      <c r="H35" s="138">
        <f t="shared" si="5"/>
        <v>1.2916666666666665</v>
      </c>
      <c r="I35" s="99">
        <f t="shared" si="6"/>
        <v>6132.833333333333</v>
      </c>
      <c r="J35" s="100">
        <f t="shared" si="1"/>
        <v>0.374149823826555</v>
      </c>
      <c r="K35" s="100">
        <f t="shared" si="2"/>
        <v>0.37385684034979483</v>
      </c>
      <c r="L35" s="101">
        <f t="shared" si="3"/>
        <v>0.009205275206435154</v>
      </c>
      <c r="M35" s="101">
        <f t="shared" si="3"/>
        <v>0.009198066881419971</v>
      </c>
      <c r="N35" s="102">
        <f t="shared" si="7"/>
        <v>43.706646680154115</v>
      </c>
      <c r="O35" s="102">
        <f t="shared" si="8"/>
        <v>43.67242155298202</v>
      </c>
      <c r="P35" s="210"/>
      <c r="Q35" s="92"/>
    </row>
    <row r="36" spans="1:17" ht="15">
      <c r="A36" s="84">
        <v>48898</v>
      </c>
      <c r="B36" s="85">
        <f t="shared" si="4"/>
        <v>184</v>
      </c>
      <c r="C36" s="85">
        <f t="shared" si="0"/>
        <v>4932</v>
      </c>
      <c r="D36" s="136">
        <f t="shared" si="9"/>
        <v>49.999999999999986</v>
      </c>
      <c r="E36" s="136">
        <f>100/6</f>
        <v>16.666666666666668</v>
      </c>
      <c r="F36" s="140">
        <v>0.03875</v>
      </c>
      <c r="G36" s="137">
        <f t="shared" si="10"/>
        <v>1.2916666666666665</v>
      </c>
      <c r="H36" s="138">
        <f t="shared" si="5"/>
        <v>17.958333333333336</v>
      </c>
      <c r="I36" s="99">
        <f t="shared" si="6"/>
        <v>88570.50000000001</v>
      </c>
      <c r="J36" s="100">
        <f t="shared" si="1"/>
        <v>4.959807018390796</v>
      </c>
      <c r="K36" s="100">
        <f t="shared" si="2"/>
        <v>4.9539823851874525</v>
      </c>
      <c r="L36" s="101">
        <f t="shared" si="3"/>
        <v>0.12202702144331581</v>
      </c>
      <c r="M36" s="101">
        <f t="shared" si="3"/>
        <v>0.12188371694816745</v>
      </c>
      <c r="N36" s="102">
        <f t="shared" si="7"/>
        <v>601.8372697584336</v>
      </c>
      <c r="O36" s="102">
        <f t="shared" si="8"/>
        <v>601.1304919883619</v>
      </c>
      <c r="P36" s="210"/>
      <c r="Q36" s="92"/>
    </row>
    <row r="37" spans="1:17" ht="15">
      <c r="A37" s="84">
        <v>49079</v>
      </c>
      <c r="B37" s="85">
        <f t="shared" si="4"/>
        <v>181</v>
      </c>
      <c r="C37" s="85">
        <f t="shared" si="0"/>
        <v>5113</v>
      </c>
      <c r="D37" s="136">
        <f t="shared" si="9"/>
        <v>49.999999999999986</v>
      </c>
      <c r="E37" s="136"/>
      <c r="F37" s="140">
        <v>0.03875</v>
      </c>
      <c r="G37" s="137">
        <f t="shared" si="10"/>
        <v>0.9687499999999997</v>
      </c>
      <c r="H37" s="138">
        <f t="shared" si="5"/>
        <v>0.9687499999999997</v>
      </c>
      <c r="I37" s="99">
        <f t="shared" si="6"/>
        <v>4953.218749999998</v>
      </c>
      <c r="J37" s="100">
        <f t="shared" si="1"/>
        <v>0.25510215260901464</v>
      </c>
      <c r="K37" s="100">
        <f t="shared" si="2"/>
        <v>0.2549023911475873</v>
      </c>
      <c r="L37" s="101">
        <f t="shared" si="3"/>
        <v>0.006276324004387602</v>
      </c>
      <c r="M37" s="101">
        <f t="shared" si="3"/>
        <v>0.006271409237331795</v>
      </c>
      <c r="N37" s="102">
        <f t="shared" si="7"/>
        <v>32.09084463443381</v>
      </c>
      <c r="O37" s="102">
        <f t="shared" si="8"/>
        <v>32.06571543047747</v>
      </c>
      <c r="P37" s="210"/>
      <c r="Q37" s="92"/>
    </row>
    <row r="38" spans="1:17" ht="15">
      <c r="A38" s="84">
        <v>49263</v>
      </c>
      <c r="B38" s="85">
        <f t="shared" si="4"/>
        <v>184</v>
      </c>
      <c r="C38" s="85">
        <f t="shared" si="0"/>
        <v>5297</v>
      </c>
      <c r="D38" s="136">
        <f t="shared" si="9"/>
        <v>33.333333333333314</v>
      </c>
      <c r="E38" s="136">
        <f>100/6</f>
        <v>16.666666666666668</v>
      </c>
      <c r="F38" s="140">
        <v>0.03875</v>
      </c>
      <c r="G38" s="137">
        <f t="shared" si="10"/>
        <v>0.9687499999999997</v>
      </c>
      <c r="H38" s="138">
        <f t="shared" si="5"/>
        <v>17.635416666666668</v>
      </c>
      <c r="I38" s="99">
        <f t="shared" si="6"/>
        <v>93414.80208333334</v>
      </c>
      <c r="J38" s="100">
        <f t="shared" si="1"/>
        <v>4.427838684948121</v>
      </c>
      <c r="K38" s="100">
        <f t="shared" si="2"/>
        <v>4.422638777748554</v>
      </c>
      <c r="L38" s="101">
        <f t="shared" si="3"/>
        <v>0.10893890914550393</v>
      </c>
      <c r="M38" s="101">
        <f t="shared" si="3"/>
        <v>0.10881097489624947</v>
      </c>
      <c r="N38" s="102">
        <f t="shared" si="7"/>
        <v>577.0494017437343</v>
      </c>
      <c r="O38" s="102">
        <f t="shared" si="8"/>
        <v>576.3717340254334</v>
      </c>
      <c r="P38" s="210"/>
      <c r="Q38" s="92"/>
    </row>
    <row r="39" spans="1:17" ht="15">
      <c r="A39" s="84">
        <v>49444</v>
      </c>
      <c r="B39" s="85">
        <f t="shared" si="4"/>
        <v>181</v>
      </c>
      <c r="C39" s="85">
        <f t="shared" si="0"/>
        <v>5478</v>
      </c>
      <c r="D39" s="136">
        <f t="shared" si="9"/>
        <v>33.333333333333314</v>
      </c>
      <c r="E39" s="136"/>
      <c r="F39" s="140">
        <v>0.03875</v>
      </c>
      <c r="G39" s="137">
        <f t="shared" si="10"/>
        <v>0.6458333333333329</v>
      </c>
      <c r="H39" s="138">
        <f t="shared" si="5"/>
        <v>0.6458333333333329</v>
      </c>
      <c r="I39" s="99">
        <f t="shared" si="6"/>
        <v>3537.8749999999977</v>
      </c>
      <c r="J39" s="100">
        <f t="shared" si="1"/>
        <v>0.15460736521758459</v>
      </c>
      <c r="K39" s="100">
        <f t="shared" si="2"/>
        <v>0.1544862976652044</v>
      </c>
      <c r="L39" s="101">
        <f t="shared" si="3"/>
        <v>0.003803832729931879</v>
      </c>
      <c r="M39" s="101">
        <f t="shared" si="3"/>
        <v>0.0038008540832313907</v>
      </c>
      <c r="N39" s="102">
        <f t="shared" si="7"/>
        <v>20.837395694566833</v>
      </c>
      <c r="O39" s="102">
        <f t="shared" si="8"/>
        <v>20.82107866794156</v>
      </c>
      <c r="P39" s="210"/>
      <c r="Q39" s="92"/>
    </row>
    <row r="40" spans="1:17" ht="15">
      <c r="A40" s="84">
        <v>49628</v>
      </c>
      <c r="B40" s="85">
        <f t="shared" si="4"/>
        <v>184</v>
      </c>
      <c r="C40" s="85">
        <f t="shared" si="0"/>
        <v>5662</v>
      </c>
      <c r="D40" s="136">
        <f t="shared" si="9"/>
        <v>16.666666666666647</v>
      </c>
      <c r="E40" s="136">
        <f>100/6</f>
        <v>16.666666666666668</v>
      </c>
      <c r="F40" s="140">
        <v>0.03875</v>
      </c>
      <c r="G40" s="137">
        <f t="shared" si="10"/>
        <v>0.6458333333333329</v>
      </c>
      <c r="H40" s="138">
        <f t="shared" si="5"/>
        <v>17.3125</v>
      </c>
      <c r="I40" s="99">
        <f t="shared" si="6"/>
        <v>98023.375</v>
      </c>
      <c r="J40" s="100">
        <f t="shared" si="1"/>
        <v>3.9516017260289833</v>
      </c>
      <c r="K40" s="100">
        <f t="shared" si="2"/>
        <v>3.9469610957515404</v>
      </c>
      <c r="L40" s="101">
        <f t="shared" si="3"/>
        <v>0.09722196584858911</v>
      </c>
      <c r="M40" s="101">
        <f t="shared" si="3"/>
        <v>0.09710779158973665</v>
      </c>
      <c r="N40" s="102">
        <f t="shared" si="7"/>
        <v>550.4707706347116</v>
      </c>
      <c r="O40" s="102">
        <f t="shared" si="8"/>
        <v>549.824315981089</v>
      </c>
      <c r="P40" s="210"/>
      <c r="Q40" s="92"/>
    </row>
    <row r="41" spans="1:17" ht="15">
      <c r="A41" s="84">
        <v>49810</v>
      </c>
      <c r="B41" s="85">
        <f t="shared" si="4"/>
        <v>182</v>
      </c>
      <c r="C41" s="85">
        <f t="shared" si="0"/>
        <v>5844</v>
      </c>
      <c r="D41" s="136">
        <f t="shared" si="9"/>
        <v>16.666666666666647</v>
      </c>
      <c r="E41" s="136"/>
      <c r="F41" s="140">
        <v>0.03875</v>
      </c>
      <c r="G41" s="137">
        <f t="shared" si="10"/>
        <v>0.3229166666666663</v>
      </c>
      <c r="H41" s="138">
        <f t="shared" si="5"/>
        <v>0.3229166666666663</v>
      </c>
      <c r="I41" s="99">
        <f t="shared" si="6"/>
        <v>1887.1249999999977</v>
      </c>
      <c r="J41" s="100">
        <f t="shared" si="1"/>
        <v>0.07027607509890205</v>
      </c>
      <c r="K41" s="100">
        <f t="shared" si="2"/>
        <v>0.07020271040253175</v>
      </c>
      <c r="L41" s="101">
        <f t="shared" si="3"/>
        <v>0.0017290148772417622</v>
      </c>
      <c r="M41" s="101">
        <f t="shared" si="3"/>
        <v>0.0017272098724615428</v>
      </c>
      <c r="N41" s="102">
        <f t="shared" si="7"/>
        <v>10.104362942600858</v>
      </c>
      <c r="O41" s="102">
        <f t="shared" si="8"/>
        <v>10.093814494665256</v>
      </c>
      <c r="P41" s="210"/>
      <c r="Q41" s="92"/>
    </row>
    <row r="42" spans="1:17" ht="15.75" thickBot="1">
      <c r="A42" s="88">
        <v>49994</v>
      </c>
      <c r="B42" s="89">
        <f t="shared" si="4"/>
        <v>184</v>
      </c>
      <c r="C42" s="89">
        <f t="shared" si="0"/>
        <v>6028</v>
      </c>
      <c r="D42" s="90">
        <f t="shared" si="9"/>
        <v>0</v>
      </c>
      <c r="E42" s="141">
        <f>100/6</f>
        <v>16.666666666666668</v>
      </c>
      <c r="F42" s="189">
        <v>0.03875</v>
      </c>
      <c r="G42" s="142">
        <f t="shared" si="10"/>
        <v>0.3229166666666663</v>
      </c>
      <c r="H42" s="143">
        <f t="shared" si="5"/>
        <v>16.989583333333336</v>
      </c>
      <c r="I42" s="113">
        <f t="shared" si="6"/>
        <v>102413.20833333334</v>
      </c>
      <c r="J42" s="114">
        <f t="shared" si="1"/>
        <v>3.5253595969550777</v>
      </c>
      <c r="K42" s="114">
        <f t="shared" si="2"/>
        <v>3.5203001772089104</v>
      </c>
      <c r="L42" s="101">
        <f t="shared" si="3"/>
        <v>0.08673505431520012</v>
      </c>
      <c r="M42" s="115">
        <f t="shared" si="3"/>
        <v>0.08661057650395322</v>
      </c>
      <c r="N42" s="102">
        <f t="shared" si="7"/>
        <v>522.8389074120263</v>
      </c>
      <c r="O42" s="116">
        <f t="shared" si="8"/>
        <v>522.08855516583</v>
      </c>
      <c r="P42" s="211"/>
      <c r="Q42" s="117"/>
    </row>
    <row r="43" spans="8:17" ht="15.75" thickBot="1">
      <c r="H43" s="144">
        <f>SUM(H15:H42)</f>
        <v>134.1875</v>
      </c>
      <c r="I43" s="119">
        <f>SUM(I15:I42)/H43</f>
        <v>4725.330538736222</v>
      </c>
      <c r="J43" s="145">
        <f>SUM(J15:J42)</f>
        <v>40.68521183787713</v>
      </c>
      <c r="K43" s="145">
        <f>SUM(K15:K42)</f>
        <v>40.64515350556789</v>
      </c>
      <c r="L43" s="145">
        <f>SUM(L15:L42)</f>
        <v>1.0009855623328803</v>
      </c>
      <c r="M43" s="121">
        <f>SUM(M15:M42)</f>
        <v>1</v>
      </c>
      <c r="N43" s="122">
        <f>SUM(N15:N42)/360</f>
        <v>12.259055712478071</v>
      </c>
      <c r="O43" s="122">
        <f>SUM(O15:O42)/365</f>
        <v>12.07832283840762</v>
      </c>
      <c r="P43" s="146">
        <f>+N43/(1+D3/2)</f>
        <v>11.67529115474102</v>
      </c>
      <c r="Q43" s="146">
        <f>+O43/(1+D3/2)</f>
        <v>11.503164608007257</v>
      </c>
    </row>
    <row r="44" spans="11:14" ht="15.75" thickBot="1">
      <c r="K44" s="124" t="s">
        <v>151</v>
      </c>
      <c r="L44" s="222"/>
      <c r="M44" s="125">
        <f>+I43/365</f>
        <v>12.946111065030744</v>
      </c>
      <c r="N44" s="208"/>
    </row>
    <row r="45" ht="15.75" thickTop="1"/>
  </sheetData>
  <sheetProtection password="DCE5" sheet="1" objects="1" scenarios="1"/>
  <mergeCells count="8">
    <mergeCell ref="S8:T9"/>
    <mergeCell ref="A1:H1"/>
    <mergeCell ref="F9:G9"/>
    <mergeCell ref="F3:G3"/>
    <mergeCell ref="F4:G4"/>
    <mergeCell ref="F5:G5"/>
    <mergeCell ref="F6:G6"/>
    <mergeCell ref="F7:G7"/>
  </mergeCells>
  <dataValidations count="1">
    <dataValidation type="list" allowBlank="1" showInputMessage="1" showErrorMessage="1" sqref="H3">
      <formula1>$AC$2:$AC$12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1:AD50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15.00390625" style="38" customWidth="1"/>
    <col min="2" max="2" width="12.00390625" style="38" hidden="1" customWidth="1"/>
    <col min="3" max="3" width="6.421875" style="38" hidden="1" customWidth="1"/>
    <col min="4" max="4" width="11.28125" style="38" bestFit="1" customWidth="1"/>
    <col min="5" max="5" width="12.7109375" style="38" bestFit="1" customWidth="1"/>
    <col min="6" max="6" width="12.8515625" style="38" customWidth="1"/>
    <col min="7" max="7" width="12.57421875" style="38" customWidth="1"/>
    <col min="8" max="8" width="15.00390625" style="38" customWidth="1"/>
    <col min="9" max="10" width="11.421875" style="38" hidden="1" customWidth="1"/>
    <col min="11" max="12" width="20.57421875" style="38" hidden="1" customWidth="1"/>
    <col min="13" max="17" width="11.421875" style="38" hidden="1" customWidth="1"/>
    <col min="18" max="18" width="9.140625" style="38" customWidth="1"/>
    <col min="19" max="19" width="14.00390625" style="38" customWidth="1"/>
    <col min="20" max="20" width="14.28125" style="38" customWidth="1"/>
    <col min="21" max="29" width="9.140625" style="38" customWidth="1"/>
    <col min="30" max="30" width="0" style="38" hidden="1" customWidth="1"/>
    <col min="31" max="16384" width="9.140625" style="38" customWidth="1"/>
  </cols>
  <sheetData>
    <row r="1" spans="1:8" ht="16.5" thickBot="1">
      <c r="A1" s="262" t="s">
        <v>11</v>
      </c>
      <c r="B1" s="263"/>
      <c r="C1" s="263"/>
      <c r="D1" s="263"/>
      <c r="E1" s="263"/>
      <c r="F1" s="263"/>
      <c r="G1" s="263"/>
      <c r="H1" s="264"/>
    </row>
    <row r="2" ht="15.75" thickBot="1"/>
    <row r="3" spans="1:30" ht="15">
      <c r="A3" s="64" t="s">
        <v>176</v>
      </c>
      <c r="B3" s="65"/>
      <c r="C3" s="65"/>
      <c r="D3" s="67">
        <f>+Reestructuracion!L4</f>
        <v>0.1</v>
      </c>
      <c r="F3" s="267" t="s">
        <v>141</v>
      </c>
      <c r="G3" s="268"/>
      <c r="H3" s="213" t="s">
        <v>61</v>
      </c>
      <c r="AD3" s="38" t="s">
        <v>61</v>
      </c>
    </row>
    <row r="4" spans="1:30" ht="15">
      <c r="A4" s="68" t="s">
        <v>194</v>
      </c>
      <c r="B4" s="69"/>
      <c r="C4" s="69"/>
      <c r="D4" s="71">
        <f>IF(Reestructuracion!$D$5="Actual/365",K49,J49)</f>
        <v>43.54904920881729</v>
      </c>
      <c r="F4" s="269" t="s">
        <v>143</v>
      </c>
      <c r="G4" s="270"/>
      <c r="H4" s="224">
        <v>100</v>
      </c>
      <c r="AD4" s="38" t="s">
        <v>62</v>
      </c>
    </row>
    <row r="5" spans="1:30" ht="15">
      <c r="A5" s="72" t="s">
        <v>148</v>
      </c>
      <c r="B5" s="69"/>
      <c r="C5" s="69"/>
      <c r="D5" s="128">
        <f>IF(Reestructuracion!$D$5="Actual/365",O49,N49)</f>
        <v>11.792887359375186</v>
      </c>
      <c r="F5" s="269" t="s">
        <v>142</v>
      </c>
      <c r="G5" s="270"/>
      <c r="H5" s="147">
        <f>+H4*140.2038/100</f>
        <v>140.2038</v>
      </c>
      <c r="AD5" s="38" t="s">
        <v>63</v>
      </c>
    </row>
    <row r="6" spans="1:8" ht="14.25" customHeight="1">
      <c r="A6" s="72" t="s">
        <v>149</v>
      </c>
      <c r="B6" s="69"/>
      <c r="C6" s="69"/>
      <c r="D6" s="129">
        <f>IF(Reestructuracion!$D$5="Actual/365",Q49,P49)</f>
        <v>11.231321294643033</v>
      </c>
      <c r="F6" s="269" t="s">
        <v>157</v>
      </c>
      <c r="G6" s="270"/>
      <c r="H6" s="148">
        <f>VLOOKUP(H3,Reestructuracion!$A$7:$D$23,4,FALSE)</f>
        <v>0</v>
      </c>
    </row>
    <row r="7" spans="1:8" ht="14.25" customHeight="1" thickBot="1">
      <c r="A7" s="73" t="s">
        <v>191</v>
      </c>
      <c r="B7" s="74"/>
      <c r="C7" s="74"/>
      <c r="D7" s="76">
        <f>+Reestructuracion!D4</f>
        <v>43966</v>
      </c>
      <c r="F7" s="269" t="s">
        <v>197</v>
      </c>
      <c r="G7" s="270"/>
      <c r="H7" s="148">
        <f>+D4</f>
        <v>43.54904920881729</v>
      </c>
    </row>
    <row r="8" spans="6:20" ht="14.25" customHeight="1">
      <c r="F8" s="130" t="s">
        <v>195</v>
      </c>
      <c r="G8" s="131"/>
      <c r="H8" s="148">
        <f>+H7*H5/100</f>
        <v>61.05742185463178</v>
      </c>
      <c r="S8" s="258" t="s">
        <v>198</v>
      </c>
      <c r="T8" s="259"/>
    </row>
    <row r="9" spans="1:20" ht="14.25" customHeight="1" thickBot="1">
      <c r="A9" s="110"/>
      <c r="B9" s="62"/>
      <c r="F9" s="265" t="s">
        <v>196</v>
      </c>
      <c r="G9" s="266"/>
      <c r="H9" s="149">
        <f>IF(H6=0,"",((H7/H4*H5)-H6)/H6)</f>
      </c>
      <c r="S9" s="260"/>
      <c r="T9" s="261"/>
    </row>
    <row r="10" spans="1:2" ht="14.25" customHeight="1">
      <c r="A10" s="110"/>
      <c r="B10" s="62"/>
    </row>
    <row r="11" spans="1:2" ht="14.25" customHeight="1">
      <c r="A11" s="150" t="s">
        <v>15</v>
      </c>
      <c r="B11" s="62"/>
    </row>
    <row r="12" spans="1:2" ht="12.75" customHeight="1" thickBot="1">
      <c r="A12" s="110"/>
      <c r="B12" s="151"/>
    </row>
    <row r="13" spans="1:17" ht="36.75" customHeight="1" thickBot="1">
      <c r="A13" s="215" t="s">
        <v>16</v>
      </c>
      <c r="B13" s="215" t="s">
        <v>21</v>
      </c>
      <c r="C13" s="215"/>
      <c r="D13" s="215" t="s">
        <v>6</v>
      </c>
      <c r="E13" s="215" t="s">
        <v>17</v>
      </c>
      <c r="F13" s="215" t="s">
        <v>19</v>
      </c>
      <c r="G13" s="215" t="s">
        <v>18</v>
      </c>
      <c r="H13" s="215" t="s">
        <v>20</v>
      </c>
      <c r="I13" s="94" t="s">
        <v>152</v>
      </c>
      <c r="J13" s="79" t="s">
        <v>218</v>
      </c>
      <c r="K13" s="79" t="s">
        <v>146</v>
      </c>
      <c r="L13" s="79" t="s">
        <v>207</v>
      </c>
      <c r="M13" s="79" t="s">
        <v>212</v>
      </c>
      <c r="N13" s="79" t="s">
        <v>217</v>
      </c>
      <c r="O13" s="79" t="s">
        <v>216</v>
      </c>
      <c r="P13" s="79" t="s">
        <v>219</v>
      </c>
      <c r="Q13" s="79" t="s">
        <v>149</v>
      </c>
    </row>
    <row r="14" spans="1:17" ht="15">
      <c r="A14" s="132">
        <v>44880</v>
      </c>
      <c r="B14" s="133"/>
      <c r="C14" s="133"/>
      <c r="D14" s="65"/>
      <c r="E14" s="65"/>
      <c r="F14" s="65"/>
      <c r="G14" s="65"/>
      <c r="H14" s="134"/>
      <c r="I14" s="135"/>
      <c r="J14" s="65"/>
      <c r="K14" s="65"/>
      <c r="L14" s="65"/>
      <c r="M14" s="65"/>
      <c r="N14" s="65"/>
      <c r="O14" s="65"/>
      <c r="P14" s="223"/>
      <c r="Q14" s="134"/>
    </row>
    <row r="15" spans="1:17" ht="15">
      <c r="A15" s="84">
        <v>45061</v>
      </c>
      <c r="B15" s="85">
        <f>+A15-A14</f>
        <v>181</v>
      </c>
      <c r="C15" s="85">
        <f aca="true" t="shared" si="0" ref="C15:C48">+A15-$D$7</f>
        <v>1095</v>
      </c>
      <c r="D15" s="136">
        <v>100</v>
      </c>
      <c r="E15" s="152"/>
      <c r="F15" s="70">
        <v>0.006</v>
      </c>
      <c r="G15" s="152">
        <f>+D15*F15/2</f>
        <v>0.3</v>
      </c>
      <c r="H15" s="153">
        <f>+G15+E15</f>
        <v>0.3</v>
      </c>
      <c r="I15" s="99">
        <f>+H15*C15</f>
        <v>328.5</v>
      </c>
      <c r="J15" s="100">
        <f aca="true" t="shared" si="1" ref="J15:J48">H15/((1+$D$3)^(DAYS360($D$7,A15)/360))</f>
        <v>0.22539444027047326</v>
      </c>
      <c r="K15" s="100">
        <f aca="true" t="shared" si="2" ref="K15:K48">H15/((1+$D$3)^(C15/365))</f>
        <v>0.22539444027047326</v>
      </c>
      <c r="L15" s="101">
        <f aca="true" t="shared" si="3" ref="L15:M48">+J15/$D$4</f>
        <v>0.005175645493193411</v>
      </c>
      <c r="M15" s="101">
        <f t="shared" si="3"/>
        <v>0.005175645493193411</v>
      </c>
      <c r="N15" s="102">
        <f>+L15*C15</f>
        <v>5.667331815046785</v>
      </c>
      <c r="O15" s="102">
        <f>+M15*C15</f>
        <v>5.667331815046785</v>
      </c>
      <c r="P15" s="210"/>
      <c r="Q15" s="92"/>
    </row>
    <row r="16" spans="1:17" ht="15">
      <c r="A16" s="84">
        <v>45245</v>
      </c>
      <c r="B16" s="85">
        <f aca="true" t="shared" si="4" ref="B16:B48">+A16-A15</f>
        <v>184</v>
      </c>
      <c r="C16" s="85">
        <f t="shared" si="0"/>
        <v>1279</v>
      </c>
      <c r="D16" s="136">
        <f>+D15-E16</f>
        <v>100</v>
      </c>
      <c r="E16" s="152"/>
      <c r="F16" s="70">
        <v>0.006</v>
      </c>
      <c r="G16" s="152">
        <f>+D15*F16/2</f>
        <v>0.3</v>
      </c>
      <c r="H16" s="153">
        <f aca="true" t="shared" si="5" ref="H16:H48">+G16+E16</f>
        <v>0.3</v>
      </c>
      <c r="I16" s="99">
        <f aca="true" t="shared" si="6" ref="I16:I42">+H16*C16</f>
        <v>383.7</v>
      </c>
      <c r="J16" s="100">
        <f t="shared" si="1"/>
        <v>0.21490516662184644</v>
      </c>
      <c r="K16" s="100">
        <f t="shared" si="2"/>
        <v>0.2148210078305518</v>
      </c>
      <c r="L16" s="101">
        <f t="shared" si="3"/>
        <v>0.00493478435295747</v>
      </c>
      <c r="M16" s="101">
        <f t="shared" si="3"/>
        <v>0.0049328518471318875</v>
      </c>
      <c r="N16" s="102">
        <f aca="true" t="shared" si="7" ref="N16:N48">+L16*C16</f>
        <v>6.311589187432604</v>
      </c>
      <c r="O16" s="102">
        <f aca="true" t="shared" si="8" ref="O16:O42">+M16*C16</f>
        <v>6.309117512481684</v>
      </c>
      <c r="P16" s="210"/>
      <c r="Q16" s="92"/>
    </row>
    <row r="17" spans="1:17" ht="15">
      <c r="A17" s="84">
        <v>45427</v>
      </c>
      <c r="B17" s="85">
        <f t="shared" si="4"/>
        <v>182</v>
      </c>
      <c r="C17" s="85">
        <f t="shared" si="0"/>
        <v>1461</v>
      </c>
      <c r="D17" s="136">
        <f aca="true" t="shared" si="9" ref="D17:D47">+D16-E17</f>
        <v>100</v>
      </c>
      <c r="E17" s="152"/>
      <c r="F17" s="70">
        <v>0.0175</v>
      </c>
      <c r="G17" s="152">
        <f aca="true" t="shared" si="10" ref="G17:G48">+D16*F17/2</f>
        <v>0.8750000000000001</v>
      </c>
      <c r="H17" s="153">
        <f t="shared" si="5"/>
        <v>0.8750000000000001</v>
      </c>
      <c r="I17" s="99">
        <f t="shared" si="6"/>
        <v>1278.3750000000002</v>
      </c>
      <c r="J17" s="100">
        <f t="shared" si="1"/>
        <v>0.5976367734444368</v>
      </c>
      <c r="K17" s="100">
        <f t="shared" si="2"/>
        <v>0.5974807366442633</v>
      </c>
      <c r="L17" s="101">
        <f t="shared" si="3"/>
        <v>0.01372330244407344</v>
      </c>
      <c r="M17" s="101">
        <f t="shared" si="3"/>
        <v>0.013719719431286517</v>
      </c>
      <c r="N17" s="102">
        <f t="shared" si="7"/>
        <v>20.049744870791294</v>
      </c>
      <c r="O17" s="102">
        <f t="shared" si="8"/>
        <v>20.0445100891096</v>
      </c>
      <c r="P17" s="210"/>
      <c r="Q17" s="92"/>
    </row>
    <row r="18" spans="1:17" ht="15">
      <c r="A18" s="84">
        <v>45611</v>
      </c>
      <c r="B18" s="85">
        <f t="shared" si="4"/>
        <v>184</v>
      </c>
      <c r="C18" s="85">
        <f t="shared" si="0"/>
        <v>1645</v>
      </c>
      <c r="D18" s="136">
        <f t="shared" si="9"/>
        <v>100</v>
      </c>
      <c r="E18" s="152"/>
      <c r="F18" s="70">
        <v>0.0175</v>
      </c>
      <c r="G18" s="152">
        <f t="shared" si="10"/>
        <v>0.8750000000000001</v>
      </c>
      <c r="H18" s="153">
        <f t="shared" si="5"/>
        <v>0.8750000000000001</v>
      </c>
      <c r="I18" s="99">
        <f t="shared" si="6"/>
        <v>1439.3750000000002</v>
      </c>
      <c r="J18" s="100">
        <f t="shared" si="1"/>
        <v>0.569824305436714</v>
      </c>
      <c r="K18" s="100">
        <f t="shared" si="2"/>
        <v>0.5694524401366755</v>
      </c>
      <c r="L18" s="101">
        <f t="shared" si="3"/>
        <v>0.013084655481326625</v>
      </c>
      <c r="M18" s="101">
        <f t="shared" si="3"/>
        <v>0.013076116482042039</v>
      </c>
      <c r="N18" s="102">
        <f t="shared" si="7"/>
        <v>21.524258266782297</v>
      </c>
      <c r="O18" s="102">
        <f t="shared" si="8"/>
        <v>21.510211612959154</v>
      </c>
      <c r="P18" s="210"/>
      <c r="Q18" s="92"/>
    </row>
    <row r="19" spans="1:17" ht="15">
      <c r="A19" s="84">
        <v>45792</v>
      </c>
      <c r="B19" s="85">
        <f t="shared" si="4"/>
        <v>181</v>
      </c>
      <c r="C19" s="85">
        <f t="shared" si="0"/>
        <v>1826</v>
      </c>
      <c r="D19" s="136">
        <f t="shared" si="9"/>
        <v>100</v>
      </c>
      <c r="E19" s="152"/>
      <c r="F19" s="70">
        <v>0.0175</v>
      </c>
      <c r="G19" s="152">
        <f t="shared" si="10"/>
        <v>0.8750000000000001</v>
      </c>
      <c r="H19" s="153">
        <f t="shared" si="5"/>
        <v>0.8750000000000001</v>
      </c>
      <c r="I19" s="99">
        <f t="shared" si="6"/>
        <v>1597.7500000000002</v>
      </c>
      <c r="J19" s="100">
        <f t="shared" si="1"/>
        <v>0.5433061576767607</v>
      </c>
      <c r="K19" s="100">
        <f t="shared" si="2"/>
        <v>0.5431643060402394</v>
      </c>
      <c r="L19" s="101">
        <f t="shared" si="3"/>
        <v>0.012475729494612219</v>
      </c>
      <c r="M19" s="101">
        <f t="shared" si="3"/>
        <v>0.01247247221026047</v>
      </c>
      <c r="N19" s="102">
        <f t="shared" si="7"/>
        <v>22.78068205716191</v>
      </c>
      <c r="O19" s="102">
        <f t="shared" si="8"/>
        <v>22.77473425593562</v>
      </c>
      <c r="P19" s="210"/>
      <c r="Q19" s="92"/>
    </row>
    <row r="20" spans="1:17" ht="15">
      <c r="A20" s="84">
        <v>45976</v>
      </c>
      <c r="B20" s="85">
        <f t="shared" si="4"/>
        <v>184</v>
      </c>
      <c r="C20" s="85">
        <f t="shared" si="0"/>
        <v>2010</v>
      </c>
      <c r="D20" s="136">
        <f t="shared" si="9"/>
        <v>100</v>
      </c>
      <c r="E20" s="152"/>
      <c r="F20" s="70">
        <v>0.0175</v>
      </c>
      <c r="G20" s="152">
        <f t="shared" si="10"/>
        <v>0.8750000000000001</v>
      </c>
      <c r="H20" s="153">
        <f t="shared" si="5"/>
        <v>0.8750000000000001</v>
      </c>
      <c r="I20" s="99">
        <f t="shared" si="6"/>
        <v>1758.7500000000002</v>
      </c>
      <c r="J20" s="100">
        <f t="shared" si="1"/>
        <v>0.5180220958515582</v>
      </c>
      <c r="K20" s="100">
        <f t="shared" si="2"/>
        <v>0.5176840364878867</v>
      </c>
      <c r="L20" s="101">
        <f t="shared" si="3"/>
        <v>0.011895141346660568</v>
      </c>
      <c r="M20" s="101">
        <f t="shared" si="3"/>
        <v>0.011887378620038214</v>
      </c>
      <c r="N20" s="102">
        <f t="shared" si="7"/>
        <v>23.909234106787743</v>
      </c>
      <c r="O20" s="102">
        <f t="shared" si="8"/>
        <v>23.89363102627681</v>
      </c>
      <c r="P20" s="210"/>
      <c r="Q20" s="92"/>
    </row>
    <row r="21" spans="1:17" ht="15">
      <c r="A21" s="84">
        <v>46157</v>
      </c>
      <c r="B21" s="85">
        <f t="shared" si="4"/>
        <v>181</v>
      </c>
      <c r="C21" s="85">
        <f t="shared" si="0"/>
        <v>2191</v>
      </c>
      <c r="D21" s="136">
        <f t="shared" si="9"/>
        <v>100</v>
      </c>
      <c r="E21" s="152"/>
      <c r="F21" s="70">
        <v>0.04</v>
      </c>
      <c r="G21" s="152">
        <f t="shared" si="10"/>
        <v>2</v>
      </c>
      <c r="H21" s="153">
        <f t="shared" si="5"/>
        <v>2</v>
      </c>
      <c r="I21" s="99">
        <f t="shared" si="6"/>
        <v>4382</v>
      </c>
      <c r="J21" s="100">
        <f t="shared" si="1"/>
        <v>1.1289478601075544</v>
      </c>
      <c r="K21" s="100">
        <f t="shared" si="2"/>
        <v>1.1286531034602374</v>
      </c>
      <c r="L21" s="101">
        <f t="shared" si="3"/>
        <v>0.02592359375503837</v>
      </c>
      <c r="M21" s="101">
        <f t="shared" si="3"/>
        <v>0.025916825371969803</v>
      </c>
      <c r="N21" s="102">
        <f t="shared" si="7"/>
        <v>56.79859391728907</v>
      </c>
      <c r="O21" s="102">
        <f t="shared" si="8"/>
        <v>56.78376438998584</v>
      </c>
      <c r="P21" s="210"/>
      <c r="Q21" s="92"/>
    </row>
    <row r="22" spans="1:17" ht="15">
      <c r="A22" s="84">
        <v>46341</v>
      </c>
      <c r="B22" s="85">
        <f t="shared" si="4"/>
        <v>184</v>
      </c>
      <c r="C22" s="85">
        <f t="shared" si="0"/>
        <v>2375</v>
      </c>
      <c r="D22" s="136">
        <f t="shared" si="9"/>
        <v>100</v>
      </c>
      <c r="E22" s="152"/>
      <c r="F22" s="70">
        <v>0.04</v>
      </c>
      <c r="G22" s="152">
        <f t="shared" si="10"/>
        <v>2</v>
      </c>
      <c r="H22" s="153">
        <f t="shared" si="5"/>
        <v>2</v>
      </c>
      <c r="I22" s="99">
        <f t="shared" si="6"/>
        <v>4750</v>
      </c>
      <c r="J22" s="100">
        <f t="shared" si="1"/>
        <v>1.0764095498214195</v>
      </c>
      <c r="K22" s="100">
        <f t="shared" si="2"/>
        <v>1.075707088805998</v>
      </c>
      <c r="L22" s="101">
        <f t="shared" si="3"/>
        <v>0.024717176824229747</v>
      </c>
      <c r="M22" s="101">
        <f t="shared" si="3"/>
        <v>0.024701046483196282</v>
      </c>
      <c r="N22" s="102">
        <f t="shared" si="7"/>
        <v>58.70329495754565</v>
      </c>
      <c r="O22" s="102">
        <f t="shared" si="8"/>
        <v>58.664985397591174</v>
      </c>
      <c r="P22" s="210"/>
      <c r="Q22" s="92"/>
    </row>
    <row r="23" spans="1:17" ht="15">
      <c r="A23" s="84">
        <v>46522</v>
      </c>
      <c r="B23" s="85">
        <f t="shared" si="4"/>
        <v>181</v>
      </c>
      <c r="C23" s="85">
        <f t="shared" si="0"/>
        <v>2556</v>
      </c>
      <c r="D23" s="136">
        <f t="shared" si="9"/>
        <v>100</v>
      </c>
      <c r="E23" s="152"/>
      <c r="F23" s="70">
        <v>0.04</v>
      </c>
      <c r="G23" s="152">
        <f t="shared" si="10"/>
        <v>2</v>
      </c>
      <c r="H23" s="153">
        <f t="shared" si="5"/>
        <v>2</v>
      </c>
      <c r="I23" s="99">
        <f t="shared" si="6"/>
        <v>5112</v>
      </c>
      <c r="J23" s="100">
        <f t="shared" si="1"/>
        <v>1.026316236461413</v>
      </c>
      <c r="K23" s="100">
        <f t="shared" si="2"/>
        <v>1.026048275872943</v>
      </c>
      <c r="L23" s="101">
        <f t="shared" si="3"/>
        <v>0.02356690341367124</v>
      </c>
      <c r="M23" s="101">
        <f t="shared" si="3"/>
        <v>0.023560750338154364</v>
      </c>
      <c r="N23" s="102">
        <f t="shared" si="7"/>
        <v>60.237005125343686</v>
      </c>
      <c r="O23" s="102">
        <f t="shared" si="8"/>
        <v>60.22127786432255</v>
      </c>
      <c r="P23" s="210"/>
      <c r="Q23" s="92"/>
    </row>
    <row r="24" spans="1:17" ht="15">
      <c r="A24" s="84">
        <v>46706</v>
      </c>
      <c r="B24" s="85">
        <f t="shared" si="4"/>
        <v>184</v>
      </c>
      <c r="C24" s="85">
        <f t="shared" si="0"/>
        <v>2740</v>
      </c>
      <c r="D24" s="136">
        <f t="shared" si="9"/>
        <v>100</v>
      </c>
      <c r="E24" s="152"/>
      <c r="F24" s="70">
        <v>0.04</v>
      </c>
      <c r="G24" s="152">
        <f t="shared" si="10"/>
        <v>2</v>
      </c>
      <c r="H24" s="153">
        <f t="shared" si="5"/>
        <v>2</v>
      </c>
      <c r="I24" s="99">
        <f t="shared" si="6"/>
        <v>5480</v>
      </c>
      <c r="J24" s="100">
        <f t="shared" si="1"/>
        <v>0.9785541362012903</v>
      </c>
      <c r="K24" s="100">
        <f t="shared" si="2"/>
        <v>0.9779155352781801</v>
      </c>
      <c r="L24" s="101">
        <f t="shared" si="3"/>
        <v>0.022470160749299768</v>
      </c>
      <c r="M24" s="101">
        <f t="shared" si="3"/>
        <v>0.022455496802905713</v>
      </c>
      <c r="N24" s="102">
        <f t="shared" si="7"/>
        <v>61.568240453081366</v>
      </c>
      <c r="O24" s="102">
        <f t="shared" si="8"/>
        <v>61.52806123996165</v>
      </c>
      <c r="P24" s="210"/>
      <c r="Q24" s="92"/>
    </row>
    <row r="25" spans="1:17" ht="15">
      <c r="A25" s="84">
        <v>46888</v>
      </c>
      <c r="B25" s="85">
        <f t="shared" si="4"/>
        <v>182</v>
      </c>
      <c r="C25" s="85">
        <f t="shared" si="0"/>
        <v>2922</v>
      </c>
      <c r="D25" s="136">
        <f t="shared" si="9"/>
        <v>100</v>
      </c>
      <c r="E25" s="152"/>
      <c r="F25" s="70">
        <v>0.045</v>
      </c>
      <c r="G25" s="152">
        <f t="shared" si="10"/>
        <v>2.25</v>
      </c>
      <c r="H25" s="153">
        <f t="shared" si="5"/>
        <v>2.25</v>
      </c>
      <c r="I25" s="99">
        <f t="shared" si="6"/>
        <v>6574.5</v>
      </c>
      <c r="J25" s="100">
        <f t="shared" si="1"/>
        <v>1.0496416054718996</v>
      </c>
      <c r="K25" s="100">
        <f t="shared" si="2"/>
        <v>1.0490935758199977</v>
      </c>
      <c r="L25" s="101">
        <f t="shared" si="3"/>
        <v>0.02410251485489104</v>
      </c>
      <c r="M25" s="101">
        <f t="shared" si="3"/>
        <v>0.02408993066162257</v>
      </c>
      <c r="N25" s="102">
        <f t="shared" si="7"/>
        <v>70.42754840599162</v>
      </c>
      <c r="O25" s="102">
        <f t="shared" si="8"/>
        <v>70.39077739326116</v>
      </c>
      <c r="P25" s="210"/>
      <c r="Q25" s="92"/>
    </row>
    <row r="26" spans="1:17" ht="15">
      <c r="A26" s="84">
        <v>47072</v>
      </c>
      <c r="B26" s="85">
        <f t="shared" si="4"/>
        <v>184</v>
      </c>
      <c r="C26" s="85">
        <f t="shared" si="0"/>
        <v>3106</v>
      </c>
      <c r="D26" s="136">
        <f t="shared" si="9"/>
        <v>100</v>
      </c>
      <c r="E26" s="152"/>
      <c r="F26" s="70">
        <v>0.045</v>
      </c>
      <c r="G26" s="152">
        <f t="shared" si="10"/>
        <v>2.25</v>
      </c>
      <c r="H26" s="153">
        <f t="shared" si="5"/>
        <v>2.25</v>
      </c>
      <c r="I26" s="99">
        <f t="shared" si="6"/>
        <v>6988.5</v>
      </c>
      <c r="J26" s="100">
        <f t="shared" si="1"/>
        <v>1.0007940029331377</v>
      </c>
      <c r="K26" s="100">
        <f t="shared" si="2"/>
        <v>0.9998797618777489</v>
      </c>
      <c r="L26" s="101">
        <f t="shared" si="3"/>
        <v>0.02298084622087476</v>
      </c>
      <c r="M26" s="101">
        <f t="shared" si="3"/>
        <v>0.022959852856564898</v>
      </c>
      <c r="N26" s="102">
        <f t="shared" si="7"/>
        <v>71.378508362037</v>
      </c>
      <c r="O26" s="102">
        <f t="shared" si="8"/>
        <v>71.31330297249058</v>
      </c>
      <c r="P26" s="210"/>
      <c r="Q26" s="92"/>
    </row>
    <row r="27" spans="1:17" ht="15">
      <c r="A27" s="84">
        <v>47253</v>
      </c>
      <c r="B27" s="85">
        <f t="shared" si="4"/>
        <v>181</v>
      </c>
      <c r="C27" s="85">
        <f t="shared" si="0"/>
        <v>3287</v>
      </c>
      <c r="D27" s="136">
        <f t="shared" si="9"/>
        <v>100</v>
      </c>
      <c r="E27" s="152"/>
      <c r="F27" s="70">
        <v>0.045</v>
      </c>
      <c r="G27" s="152">
        <f t="shared" si="10"/>
        <v>2.25</v>
      </c>
      <c r="H27" s="153">
        <f t="shared" si="5"/>
        <v>2.25</v>
      </c>
      <c r="I27" s="99">
        <f t="shared" si="6"/>
        <v>7395.75</v>
      </c>
      <c r="J27" s="100">
        <f t="shared" si="1"/>
        <v>0.9542196413380905</v>
      </c>
      <c r="K27" s="100">
        <f t="shared" si="2"/>
        <v>0.9537214325636342</v>
      </c>
      <c r="L27" s="101">
        <f t="shared" si="3"/>
        <v>0.021911377140810036</v>
      </c>
      <c r="M27" s="101">
        <f t="shared" si="3"/>
        <v>0.021899936965111427</v>
      </c>
      <c r="N27" s="102">
        <f t="shared" si="7"/>
        <v>72.02269666184259</v>
      </c>
      <c r="O27" s="102">
        <f t="shared" si="8"/>
        <v>71.98509280432125</v>
      </c>
      <c r="P27" s="210"/>
      <c r="Q27" s="92"/>
    </row>
    <row r="28" spans="1:17" ht="15">
      <c r="A28" s="84">
        <v>47437</v>
      </c>
      <c r="B28" s="85">
        <f t="shared" si="4"/>
        <v>184</v>
      </c>
      <c r="C28" s="85">
        <f t="shared" si="0"/>
        <v>3471</v>
      </c>
      <c r="D28" s="136">
        <f t="shared" si="9"/>
        <v>90.9090909090909</v>
      </c>
      <c r="E28" s="152">
        <v>9.090909090909092</v>
      </c>
      <c r="F28" s="70">
        <v>0.045</v>
      </c>
      <c r="G28" s="152">
        <f t="shared" si="10"/>
        <v>2.25</v>
      </c>
      <c r="H28" s="153">
        <f t="shared" si="5"/>
        <v>11.340909090909092</v>
      </c>
      <c r="I28" s="99">
        <f t="shared" si="6"/>
        <v>39364.295454545456</v>
      </c>
      <c r="J28" s="100">
        <f t="shared" si="1"/>
        <v>4.585823759996655</v>
      </c>
      <c r="K28" s="100">
        <f t="shared" si="2"/>
        <v>4.581634537897123</v>
      </c>
      <c r="L28" s="101">
        <f t="shared" si="3"/>
        <v>0.10530250013054643</v>
      </c>
      <c r="M28" s="101">
        <f t="shared" si="3"/>
        <v>0.10520630464119268</v>
      </c>
      <c r="N28" s="102">
        <f t="shared" si="7"/>
        <v>365.5049779531266</v>
      </c>
      <c r="O28" s="102">
        <f t="shared" si="8"/>
        <v>365.1710834095798</v>
      </c>
      <c r="P28" s="210"/>
      <c r="Q28" s="92"/>
    </row>
    <row r="29" spans="1:17" ht="15">
      <c r="A29" s="84">
        <v>47618</v>
      </c>
      <c r="B29" s="85">
        <f t="shared" si="4"/>
        <v>181</v>
      </c>
      <c r="C29" s="85">
        <f t="shared" si="0"/>
        <v>3652</v>
      </c>
      <c r="D29" s="136">
        <f t="shared" si="9"/>
        <v>90.9090909090909</v>
      </c>
      <c r="E29" s="152"/>
      <c r="F29" s="70">
        <v>0.045</v>
      </c>
      <c r="G29" s="152">
        <f t="shared" si="10"/>
        <v>2.0454545454545454</v>
      </c>
      <c r="H29" s="153">
        <f t="shared" si="5"/>
        <v>2.0454545454545454</v>
      </c>
      <c r="I29" s="99">
        <f t="shared" si="6"/>
        <v>7470</v>
      </c>
      <c r="J29" s="100">
        <f t="shared" si="1"/>
        <v>0.7886112738331326</v>
      </c>
      <c r="K29" s="100">
        <f t="shared" si="2"/>
        <v>0.7881995310443257</v>
      </c>
      <c r="L29" s="101">
        <f t="shared" si="3"/>
        <v>0.01810857614942978</v>
      </c>
      <c r="M29" s="101">
        <f t="shared" si="3"/>
        <v>0.01809912145876977</v>
      </c>
      <c r="N29" s="102">
        <f t="shared" si="7"/>
        <v>66.13252009771755</v>
      </c>
      <c r="O29" s="102">
        <f t="shared" si="8"/>
        <v>66.0979915674272</v>
      </c>
      <c r="P29" s="210"/>
      <c r="Q29" s="92"/>
    </row>
    <row r="30" spans="1:17" ht="15">
      <c r="A30" s="84">
        <v>47802</v>
      </c>
      <c r="B30" s="85">
        <f t="shared" si="4"/>
        <v>184</v>
      </c>
      <c r="C30" s="85">
        <f t="shared" si="0"/>
        <v>3836</v>
      </c>
      <c r="D30" s="136">
        <f t="shared" si="9"/>
        <v>81.81818181818181</v>
      </c>
      <c r="E30" s="152">
        <v>9.090909090909092</v>
      </c>
      <c r="F30" s="190">
        <v>0.045</v>
      </c>
      <c r="G30" s="152">
        <f t="shared" si="10"/>
        <v>2.0454545454545454</v>
      </c>
      <c r="H30" s="153">
        <f t="shared" si="5"/>
        <v>11.136363636363637</v>
      </c>
      <c r="I30" s="99">
        <f t="shared" si="6"/>
        <v>42719.09090909091</v>
      </c>
      <c r="J30" s="100">
        <f t="shared" si="1"/>
        <v>4.093739556200329</v>
      </c>
      <c r="K30" s="100">
        <f t="shared" si="2"/>
        <v>4.089999860757133</v>
      </c>
      <c r="L30" s="101">
        <f t="shared" si="3"/>
        <v>0.09400296058292537</v>
      </c>
      <c r="M30" s="101">
        <f t="shared" si="3"/>
        <v>0.09391708740059103</v>
      </c>
      <c r="N30" s="102">
        <f t="shared" si="7"/>
        <v>360.5953567961017</v>
      </c>
      <c r="O30" s="102">
        <f t="shared" si="8"/>
        <v>360.26594726866716</v>
      </c>
      <c r="P30" s="210"/>
      <c r="Q30" s="92"/>
    </row>
    <row r="31" spans="1:17" ht="15">
      <c r="A31" s="84">
        <v>47983</v>
      </c>
      <c r="B31" s="85">
        <f t="shared" si="4"/>
        <v>181</v>
      </c>
      <c r="C31" s="85">
        <f t="shared" si="0"/>
        <v>4017</v>
      </c>
      <c r="D31" s="136">
        <f t="shared" si="9"/>
        <v>81.81818181818181</v>
      </c>
      <c r="E31" s="152"/>
      <c r="F31" s="190">
        <v>0.045</v>
      </c>
      <c r="G31" s="152">
        <f t="shared" si="10"/>
        <v>1.8409090909090908</v>
      </c>
      <c r="H31" s="153">
        <f t="shared" si="5"/>
        <v>1.8409090909090908</v>
      </c>
      <c r="I31" s="99">
        <f t="shared" si="6"/>
        <v>7394.931818181818</v>
      </c>
      <c r="J31" s="100">
        <f t="shared" si="1"/>
        <v>0.6452274058634719</v>
      </c>
      <c r="K31" s="100">
        <f t="shared" si="2"/>
        <v>0.6448905253999028</v>
      </c>
      <c r="L31" s="101">
        <f t="shared" si="3"/>
        <v>0.014816107758624361</v>
      </c>
      <c r="M31" s="101">
        <f t="shared" si="3"/>
        <v>0.014808372102629811</v>
      </c>
      <c r="N31" s="102">
        <f t="shared" si="7"/>
        <v>59.51630486639406</v>
      </c>
      <c r="O31" s="102">
        <f t="shared" si="8"/>
        <v>59.48523073626395</v>
      </c>
      <c r="P31" s="210"/>
      <c r="Q31" s="92"/>
    </row>
    <row r="32" spans="1:17" ht="15">
      <c r="A32" s="84">
        <v>48167</v>
      </c>
      <c r="B32" s="85">
        <f t="shared" si="4"/>
        <v>184</v>
      </c>
      <c r="C32" s="85">
        <f t="shared" si="0"/>
        <v>4201</v>
      </c>
      <c r="D32" s="136">
        <f t="shared" si="9"/>
        <v>72.72727272727272</v>
      </c>
      <c r="E32" s="152">
        <v>9.090909090909092</v>
      </c>
      <c r="F32" s="190">
        <v>0.045</v>
      </c>
      <c r="G32" s="152">
        <f t="shared" si="10"/>
        <v>1.8409090909090908</v>
      </c>
      <c r="H32" s="153">
        <f t="shared" si="5"/>
        <v>10.931818181818183</v>
      </c>
      <c r="I32" s="99">
        <f t="shared" si="6"/>
        <v>45924.56818181819</v>
      </c>
      <c r="J32" s="100">
        <f t="shared" si="1"/>
        <v>3.6532258377223714</v>
      </c>
      <c r="K32" s="100">
        <f t="shared" si="2"/>
        <v>3.649888558486421</v>
      </c>
      <c r="L32" s="101">
        <f t="shared" si="3"/>
        <v>0.08388761417511523</v>
      </c>
      <c r="M32" s="101">
        <f t="shared" si="3"/>
        <v>0.08381098152075006</v>
      </c>
      <c r="N32" s="102">
        <f t="shared" si="7"/>
        <v>352.4118671496591</v>
      </c>
      <c r="O32" s="102">
        <f t="shared" si="8"/>
        <v>352.089933368671</v>
      </c>
      <c r="P32" s="210"/>
      <c r="Q32" s="92"/>
    </row>
    <row r="33" spans="1:17" ht="15">
      <c r="A33" s="84">
        <v>48349</v>
      </c>
      <c r="B33" s="85">
        <f t="shared" si="4"/>
        <v>182</v>
      </c>
      <c r="C33" s="85">
        <f t="shared" si="0"/>
        <v>4383</v>
      </c>
      <c r="D33" s="136">
        <f t="shared" si="9"/>
        <v>72.72727272727272</v>
      </c>
      <c r="E33" s="152"/>
      <c r="F33" s="190">
        <v>0.045</v>
      </c>
      <c r="G33" s="152">
        <f t="shared" si="10"/>
        <v>1.636363636363636</v>
      </c>
      <c r="H33" s="153">
        <f t="shared" si="5"/>
        <v>1.636363636363636</v>
      </c>
      <c r="I33" s="99">
        <f t="shared" si="6"/>
        <v>7172.181818181817</v>
      </c>
      <c r="J33" s="100">
        <f t="shared" si="1"/>
        <v>0.5213958835260378</v>
      </c>
      <c r="K33" s="100">
        <f t="shared" si="2"/>
        <v>0.5209875968745529</v>
      </c>
      <c r="L33" s="101">
        <f t="shared" si="3"/>
        <v>0.011972612330201502</v>
      </c>
      <c r="M33" s="101">
        <f t="shared" si="3"/>
        <v>0.011963237001488188</v>
      </c>
      <c r="N33" s="102">
        <f t="shared" si="7"/>
        <v>52.47595984327318</v>
      </c>
      <c r="O33" s="102">
        <f t="shared" si="8"/>
        <v>52.434867777522726</v>
      </c>
      <c r="P33" s="210"/>
      <c r="Q33" s="92"/>
    </row>
    <row r="34" spans="1:17" ht="15">
      <c r="A34" s="84">
        <v>48533</v>
      </c>
      <c r="B34" s="85">
        <f t="shared" si="4"/>
        <v>184</v>
      </c>
      <c r="C34" s="85">
        <f t="shared" si="0"/>
        <v>4567</v>
      </c>
      <c r="D34" s="136">
        <f t="shared" si="9"/>
        <v>63.636363636363626</v>
      </c>
      <c r="E34" s="152">
        <v>9.090909090909092</v>
      </c>
      <c r="F34" s="190">
        <v>0.045</v>
      </c>
      <c r="G34" s="152">
        <f t="shared" si="10"/>
        <v>1.636363636363636</v>
      </c>
      <c r="H34" s="153">
        <f t="shared" si="5"/>
        <v>10.727272727272728</v>
      </c>
      <c r="I34" s="99">
        <f t="shared" si="6"/>
        <v>48991.45454545455</v>
      </c>
      <c r="J34" s="100">
        <f t="shared" si="1"/>
        <v>3.2589729642883376</v>
      </c>
      <c r="K34" s="100">
        <f t="shared" si="2"/>
        <v>3.255145734304145</v>
      </c>
      <c r="L34" s="101">
        <f t="shared" si="3"/>
        <v>0.07483453768787449</v>
      </c>
      <c r="M34" s="101">
        <f t="shared" si="3"/>
        <v>0.07474665448367775</v>
      </c>
      <c r="N34" s="102">
        <f t="shared" si="7"/>
        <v>341.7693336205228</v>
      </c>
      <c r="O34" s="102">
        <f t="shared" si="8"/>
        <v>341.36797102695624</v>
      </c>
      <c r="P34" s="210"/>
      <c r="Q34" s="92"/>
    </row>
    <row r="35" spans="1:17" ht="15">
      <c r="A35" s="84">
        <v>48714</v>
      </c>
      <c r="B35" s="85">
        <f t="shared" si="4"/>
        <v>181</v>
      </c>
      <c r="C35" s="85">
        <f t="shared" si="0"/>
        <v>4748</v>
      </c>
      <c r="D35" s="136">
        <f t="shared" si="9"/>
        <v>63.636363636363626</v>
      </c>
      <c r="E35" s="152"/>
      <c r="F35" s="190">
        <v>0.045</v>
      </c>
      <c r="G35" s="152">
        <f t="shared" si="10"/>
        <v>1.4318181818181814</v>
      </c>
      <c r="H35" s="153">
        <f t="shared" si="5"/>
        <v>1.4318181818181814</v>
      </c>
      <c r="I35" s="99">
        <f t="shared" si="6"/>
        <v>6798.272727272725</v>
      </c>
      <c r="J35" s="100">
        <f t="shared" si="1"/>
        <v>0.41474672553207553</v>
      </c>
      <c r="K35" s="100">
        <f t="shared" si="2"/>
        <v>0.4144219520593033</v>
      </c>
      <c r="L35" s="101">
        <f t="shared" si="3"/>
        <v>0.009523668899023922</v>
      </c>
      <c r="M35" s="101">
        <f t="shared" si="3"/>
        <v>0.009516211251183784</v>
      </c>
      <c r="N35" s="102">
        <f t="shared" si="7"/>
        <v>45.21837993256558</v>
      </c>
      <c r="O35" s="102">
        <f t="shared" si="8"/>
        <v>45.182971020620606</v>
      </c>
      <c r="P35" s="210"/>
      <c r="Q35" s="92"/>
    </row>
    <row r="36" spans="1:17" ht="15">
      <c r="A36" s="84">
        <v>48898</v>
      </c>
      <c r="B36" s="85">
        <f t="shared" si="4"/>
        <v>184</v>
      </c>
      <c r="C36" s="85">
        <f t="shared" si="0"/>
        <v>4932</v>
      </c>
      <c r="D36" s="136">
        <f t="shared" si="9"/>
        <v>54.54545454545453</v>
      </c>
      <c r="E36" s="152">
        <v>9.090909090909092</v>
      </c>
      <c r="F36" s="190">
        <v>0.045</v>
      </c>
      <c r="G36" s="152">
        <f t="shared" si="10"/>
        <v>1.4318181818181814</v>
      </c>
      <c r="H36" s="153">
        <f t="shared" si="5"/>
        <v>10.522727272727273</v>
      </c>
      <c r="I36" s="99">
        <f t="shared" si="6"/>
        <v>51898.09090909091</v>
      </c>
      <c r="J36" s="100">
        <f t="shared" si="1"/>
        <v>2.9062104824065873</v>
      </c>
      <c r="K36" s="100">
        <f t="shared" si="2"/>
        <v>2.9027975250054294</v>
      </c>
      <c r="L36" s="101">
        <f t="shared" si="3"/>
        <v>0.06673418903984184</v>
      </c>
      <c r="M36" s="101">
        <f t="shared" si="3"/>
        <v>0.06665581861699305</v>
      </c>
      <c r="N36" s="102">
        <f t="shared" si="7"/>
        <v>329.1330203444999</v>
      </c>
      <c r="O36" s="102">
        <f t="shared" si="8"/>
        <v>328.7464974190097</v>
      </c>
      <c r="P36" s="210"/>
      <c r="Q36" s="92"/>
    </row>
    <row r="37" spans="1:17" ht="15">
      <c r="A37" s="84">
        <v>49079</v>
      </c>
      <c r="B37" s="85">
        <f t="shared" si="4"/>
        <v>181</v>
      </c>
      <c r="C37" s="85">
        <f t="shared" si="0"/>
        <v>5113</v>
      </c>
      <c r="D37" s="136">
        <f t="shared" si="9"/>
        <v>54.54545454545453</v>
      </c>
      <c r="E37" s="152"/>
      <c r="F37" s="190">
        <v>0.045</v>
      </c>
      <c r="G37" s="152">
        <f t="shared" si="10"/>
        <v>1.2272727272727268</v>
      </c>
      <c r="H37" s="153">
        <f t="shared" si="5"/>
        <v>1.2272727272727268</v>
      </c>
      <c r="I37" s="99">
        <f t="shared" si="6"/>
        <v>6275.045454545452</v>
      </c>
      <c r="J37" s="100">
        <f t="shared" si="1"/>
        <v>0.3231792666483705</v>
      </c>
      <c r="K37" s="100">
        <f t="shared" si="2"/>
        <v>0.32292619640984666</v>
      </c>
      <c r="L37" s="101">
        <f t="shared" si="3"/>
        <v>0.00742104070053812</v>
      </c>
      <c r="M37" s="101">
        <f t="shared" si="3"/>
        <v>0.007415229546376972</v>
      </c>
      <c r="N37" s="102">
        <f t="shared" si="7"/>
        <v>37.94378110185141</v>
      </c>
      <c r="O37" s="102">
        <f t="shared" si="8"/>
        <v>37.91406867062546</v>
      </c>
      <c r="P37" s="210"/>
      <c r="Q37" s="92"/>
    </row>
    <row r="38" spans="1:17" ht="15">
      <c r="A38" s="84">
        <v>49263</v>
      </c>
      <c r="B38" s="85">
        <f t="shared" si="4"/>
        <v>184</v>
      </c>
      <c r="C38" s="85">
        <f t="shared" si="0"/>
        <v>5297</v>
      </c>
      <c r="D38" s="136">
        <f t="shared" si="9"/>
        <v>45.45454545454544</v>
      </c>
      <c r="E38" s="152">
        <v>9.090909090909092</v>
      </c>
      <c r="F38" s="190">
        <v>0.045</v>
      </c>
      <c r="G38" s="152">
        <f t="shared" si="10"/>
        <v>1.2272727272727268</v>
      </c>
      <c r="H38" s="153">
        <f t="shared" si="5"/>
        <v>10.318181818181818</v>
      </c>
      <c r="I38" s="99">
        <f t="shared" si="6"/>
        <v>54655.40909090909</v>
      </c>
      <c r="J38" s="100">
        <f t="shared" si="1"/>
        <v>2.590652972732359</v>
      </c>
      <c r="K38" s="100">
        <f t="shared" si="2"/>
        <v>2.5876105956262814</v>
      </c>
      <c r="L38" s="101">
        <f t="shared" si="3"/>
        <v>0.059488163801469054</v>
      </c>
      <c r="M38" s="101">
        <f t="shared" si="3"/>
        <v>0.05941830287083221</v>
      </c>
      <c r="N38" s="102">
        <f t="shared" si="7"/>
        <v>315.10880365638155</v>
      </c>
      <c r="O38" s="102">
        <f t="shared" si="8"/>
        <v>314.73875030679824</v>
      </c>
      <c r="P38" s="210"/>
      <c r="Q38" s="92"/>
    </row>
    <row r="39" spans="1:17" ht="15">
      <c r="A39" s="84">
        <v>49444</v>
      </c>
      <c r="B39" s="85">
        <f t="shared" si="4"/>
        <v>181</v>
      </c>
      <c r="C39" s="85">
        <f t="shared" si="0"/>
        <v>5478</v>
      </c>
      <c r="D39" s="136">
        <f t="shared" si="9"/>
        <v>45.45454545454544</v>
      </c>
      <c r="E39" s="152"/>
      <c r="F39" s="190">
        <v>0.045</v>
      </c>
      <c r="G39" s="152">
        <f t="shared" si="10"/>
        <v>1.0227272727272723</v>
      </c>
      <c r="H39" s="153">
        <f t="shared" si="5"/>
        <v>1.0227272727272723</v>
      </c>
      <c r="I39" s="99">
        <f t="shared" si="6"/>
        <v>5602.499999999997</v>
      </c>
      <c r="J39" s="100">
        <f t="shared" si="1"/>
        <v>0.24483277776391701</v>
      </c>
      <c r="K39" s="100">
        <f t="shared" si="2"/>
        <v>0.24464105788624746</v>
      </c>
      <c r="L39" s="101">
        <f t="shared" si="3"/>
        <v>0.005622000530710696</v>
      </c>
      <c r="M39" s="101">
        <f t="shared" si="3"/>
        <v>0.005617598141194675</v>
      </c>
      <c r="N39" s="102">
        <f t="shared" si="7"/>
        <v>30.797318907233194</v>
      </c>
      <c r="O39" s="102">
        <f t="shared" si="8"/>
        <v>30.77320261746443</v>
      </c>
      <c r="P39" s="210"/>
      <c r="Q39" s="92"/>
    </row>
    <row r="40" spans="1:17" ht="15">
      <c r="A40" s="84">
        <v>49628</v>
      </c>
      <c r="B40" s="85">
        <f t="shared" si="4"/>
        <v>184</v>
      </c>
      <c r="C40" s="85">
        <f t="shared" si="0"/>
        <v>5662</v>
      </c>
      <c r="D40" s="136">
        <f t="shared" si="9"/>
        <v>36.363636363636346</v>
      </c>
      <c r="E40" s="152">
        <v>9.090909090909092</v>
      </c>
      <c r="F40" s="190">
        <v>0.045</v>
      </c>
      <c r="G40" s="152">
        <f t="shared" si="10"/>
        <v>1.0227272727272723</v>
      </c>
      <c r="H40" s="153">
        <f t="shared" si="5"/>
        <v>10.113636363636363</v>
      </c>
      <c r="I40" s="99">
        <f t="shared" si="6"/>
        <v>57263.40909090909</v>
      </c>
      <c r="J40" s="100">
        <f t="shared" si="1"/>
        <v>2.3084512872765313</v>
      </c>
      <c r="K40" s="100">
        <f t="shared" si="2"/>
        <v>2.3057403184895775</v>
      </c>
      <c r="L40" s="101">
        <f t="shared" si="3"/>
        <v>0.05300807547387611</v>
      </c>
      <c r="M40" s="101">
        <f t="shared" si="3"/>
        <v>0.05294582454449405</v>
      </c>
      <c r="N40" s="102">
        <f t="shared" si="7"/>
        <v>300.13172333308654</v>
      </c>
      <c r="O40" s="102">
        <f t="shared" si="8"/>
        <v>299.7792585709253</v>
      </c>
      <c r="P40" s="210"/>
      <c r="Q40" s="92"/>
    </row>
    <row r="41" spans="1:17" ht="15">
      <c r="A41" s="84">
        <v>49810</v>
      </c>
      <c r="B41" s="85">
        <f t="shared" si="4"/>
        <v>182</v>
      </c>
      <c r="C41" s="85">
        <f t="shared" si="0"/>
        <v>5844</v>
      </c>
      <c r="D41" s="136">
        <f t="shared" si="9"/>
        <v>36.363636363636346</v>
      </c>
      <c r="E41" s="152"/>
      <c r="F41" s="190">
        <v>0.045</v>
      </c>
      <c r="G41" s="152">
        <f t="shared" si="10"/>
        <v>0.8181818181818178</v>
      </c>
      <c r="H41" s="153">
        <f t="shared" si="5"/>
        <v>0.8181818181818178</v>
      </c>
      <c r="I41" s="99">
        <f t="shared" si="6"/>
        <v>4781.454545454543</v>
      </c>
      <c r="J41" s="100">
        <f t="shared" si="1"/>
        <v>0.17806020201012143</v>
      </c>
      <c r="K41" s="100">
        <f t="shared" si="2"/>
        <v>0.1778743160932184</v>
      </c>
      <c r="L41" s="101">
        <f t="shared" si="3"/>
        <v>0.004088727658698687</v>
      </c>
      <c r="M41" s="101">
        <f t="shared" si="3"/>
        <v>0.004084459232170896</v>
      </c>
      <c r="N41" s="102">
        <f t="shared" si="7"/>
        <v>23.894524437435127</v>
      </c>
      <c r="O41" s="102">
        <f t="shared" si="8"/>
        <v>23.869579752806715</v>
      </c>
      <c r="P41" s="210"/>
      <c r="Q41" s="92"/>
    </row>
    <row r="42" spans="1:17" ht="15">
      <c r="A42" s="84">
        <v>49994</v>
      </c>
      <c r="B42" s="85">
        <f t="shared" si="4"/>
        <v>184</v>
      </c>
      <c r="C42" s="85">
        <f t="shared" si="0"/>
        <v>6028</v>
      </c>
      <c r="D42" s="136">
        <f t="shared" si="9"/>
        <v>27.272727272727252</v>
      </c>
      <c r="E42" s="152">
        <v>9.090909090909092</v>
      </c>
      <c r="F42" s="190">
        <v>0.045</v>
      </c>
      <c r="G42" s="152">
        <f t="shared" si="10"/>
        <v>0.8181818181818178</v>
      </c>
      <c r="H42" s="153">
        <f t="shared" si="5"/>
        <v>9.90909090909091</v>
      </c>
      <c r="I42" s="99">
        <f t="shared" si="6"/>
        <v>59732.00000000001</v>
      </c>
      <c r="J42" s="100">
        <f t="shared" si="1"/>
        <v>2.0561486440297605</v>
      </c>
      <c r="K42" s="100">
        <f t="shared" si="2"/>
        <v>2.0531977623495923</v>
      </c>
      <c r="L42" s="101">
        <f t="shared" si="3"/>
        <v>0.047214547306659825</v>
      </c>
      <c r="M42" s="101">
        <f t="shared" si="3"/>
        <v>0.047146787350156094</v>
      </c>
      <c r="N42" s="102">
        <f t="shared" si="7"/>
        <v>284.6092911645454</v>
      </c>
      <c r="O42" s="102">
        <f t="shared" si="8"/>
        <v>284.20083414674093</v>
      </c>
      <c r="P42" s="210"/>
      <c r="Q42" s="92"/>
    </row>
    <row r="43" spans="1:17" ht="15">
      <c r="A43" s="84">
        <v>50175</v>
      </c>
      <c r="B43" s="85">
        <f t="shared" si="4"/>
        <v>181</v>
      </c>
      <c r="C43" s="85">
        <f t="shared" si="0"/>
        <v>6209</v>
      </c>
      <c r="D43" s="136">
        <f t="shared" si="9"/>
        <v>27.272727272727252</v>
      </c>
      <c r="E43" s="152"/>
      <c r="F43" s="190">
        <v>0.045</v>
      </c>
      <c r="G43" s="152">
        <f t="shared" si="10"/>
        <v>0.6136363636363632</v>
      </c>
      <c r="H43" s="153">
        <f t="shared" si="5"/>
        <v>0.6136363636363632</v>
      </c>
      <c r="I43" s="99">
        <f aca="true" t="shared" si="11" ref="I43:I48">+H43*C43</f>
        <v>3810.0681818181793</v>
      </c>
      <c r="J43" s="100">
        <f t="shared" si="1"/>
        <v>0.12140468318871914</v>
      </c>
      <c r="K43" s="100">
        <f t="shared" si="2"/>
        <v>0.12127794279083066</v>
      </c>
      <c r="L43" s="101">
        <f t="shared" si="3"/>
        <v>0.00278776885820365</v>
      </c>
      <c r="M43" s="101">
        <f t="shared" si="3"/>
        <v>0.0027848585673892457</v>
      </c>
      <c r="N43" s="102">
        <f t="shared" si="7"/>
        <v>17.309256840586464</v>
      </c>
      <c r="O43" s="102">
        <f aca="true" t="shared" si="12" ref="O43:O48">+M43*C43</f>
        <v>17.291186844919828</v>
      </c>
      <c r="P43" s="210"/>
      <c r="Q43" s="92"/>
    </row>
    <row r="44" spans="1:17" ht="15">
      <c r="A44" s="84">
        <v>50359</v>
      </c>
      <c r="B44" s="85">
        <f t="shared" si="4"/>
        <v>184</v>
      </c>
      <c r="C44" s="85">
        <f t="shared" si="0"/>
        <v>6393</v>
      </c>
      <c r="D44" s="136">
        <f t="shared" si="9"/>
        <v>18.18181818181816</v>
      </c>
      <c r="E44" s="152">
        <v>9.090909090909092</v>
      </c>
      <c r="F44" s="190">
        <v>0.045</v>
      </c>
      <c r="G44" s="152">
        <f t="shared" si="10"/>
        <v>0.6136363636363632</v>
      </c>
      <c r="H44" s="153">
        <f t="shared" si="5"/>
        <v>9.704545454545455</v>
      </c>
      <c r="I44" s="99">
        <f t="shared" si="11"/>
        <v>62041.159090909096</v>
      </c>
      <c r="J44" s="100">
        <f t="shared" si="1"/>
        <v>1.8306410988338355</v>
      </c>
      <c r="K44" s="100">
        <f t="shared" si="2"/>
        <v>1.8280138543020763</v>
      </c>
      <c r="L44" s="101">
        <f t="shared" si="3"/>
        <v>0.04203630462874008</v>
      </c>
      <c r="M44" s="101">
        <f t="shared" si="3"/>
        <v>0.04197597622709894</v>
      </c>
      <c r="N44" s="102">
        <f t="shared" si="7"/>
        <v>268.7380954915353</v>
      </c>
      <c r="O44" s="102">
        <f t="shared" si="12"/>
        <v>268.35241601984353</v>
      </c>
      <c r="P44" s="210"/>
      <c r="Q44" s="92"/>
    </row>
    <row r="45" spans="1:17" ht="15">
      <c r="A45" s="84">
        <v>50540</v>
      </c>
      <c r="B45" s="85">
        <f t="shared" si="4"/>
        <v>181</v>
      </c>
      <c r="C45" s="85">
        <f t="shared" si="0"/>
        <v>6574</v>
      </c>
      <c r="D45" s="136">
        <f t="shared" si="9"/>
        <v>18.18181818181816</v>
      </c>
      <c r="E45" s="152"/>
      <c r="F45" s="190">
        <v>0.045</v>
      </c>
      <c r="G45" s="152">
        <f t="shared" si="10"/>
        <v>0.40909090909090856</v>
      </c>
      <c r="H45" s="153">
        <f t="shared" si="5"/>
        <v>0.40909090909090856</v>
      </c>
      <c r="I45" s="99">
        <f t="shared" si="11"/>
        <v>2689.363636363633</v>
      </c>
      <c r="J45" s="100">
        <f t="shared" si="1"/>
        <v>0.07357859587195094</v>
      </c>
      <c r="K45" s="100">
        <f t="shared" si="2"/>
        <v>0.0735017835095943</v>
      </c>
      <c r="L45" s="101">
        <f t="shared" si="3"/>
        <v>0.0016895568837597867</v>
      </c>
      <c r="M45" s="101">
        <f t="shared" si="3"/>
        <v>0.0016877930711449963</v>
      </c>
      <c r="N45" s="102">
        <f t="shared" si="7"/>
        <v>11.107146953836837</v>
      </c>
      <c r="O45" s="102">
        <f t="shared" si="12"/>
        <v>11.095551649707206</v>
      </c>
      <c r="P45" s="210"/>
      <c r="Q45" s="92"/>
    </row>
    <row r="46" spans="1:17" ht="15">
      <c r="A46" s="84">
        <v>50724</v>
      </c>
      <c r="B46" s="85">
        <f t="shared" si="4"/>
        <v>184</v>
      </c>
      <c r="C46" s="85">
        <f t="shared" si="0"/>
        <v>6758</v>
      </c>
      <c r="D46" s="136">
        <f t="shared" si="9"/>
        <v>9.090909090909067</v>
      </c>
      <c r="E46" s="152">
        <v>9.090909090909092</v>
      </c>
      <c r="F46" s="190">
        <v>0.045</v>
      </c>
      <c r="G46" s="152">
        <f t="shared" si="10"/>
        <v>0.40909090909090856</v>
      </c>
      <c r="H46" s="153">
        <f t="shared" si="5"/>
        <v>9.5</v>
      </c>
      <c r="I46" s="99">
        <f t="shared" si="11"/>
        <v>64201</v>
      </c>
      <c r="J46" s="100">
        <f t="shared" si="1"/>
        <v>1.6291419614914693</v>
      </c>
      <c r="K46" s="100">
        <f t="shared" si="2"/>
        <v>1.6268038984421285</v>
      </c>
      <c r="L46" s="101">
        <f t="shared" si="3"/>
        <v>0.037409357749230036</v>
      </c>
      <c r="M46" s="101">
        <f t="shared" si="3"/>
        <v>0.037355669710298814</v>
      </c>
      <c r="N46" s="102">
        <f t="shared" si="7"/>
        <v>252.8124396692966</v>
      </c>
      <c r="O46" s="102">
        <f t="shared" si="12"/>
        <v>252.44961590219938</v>
      </c>
      <c r="P46" s="210"/>
      <c r="Q46" s="92"/>
    </row>
    <row r="47" spans="1:17" ht="15">
      <c r="A47" s="84">
        <v>50905</v>
      </c>
      <c r="B47" s="85">
        <f t="shared" si="4"/>
        <v>181</v>
      </c>
      <c r="C47" s="85">
        <f t="shared" si="0"/>
        <v>6939</v>
      </c>
      <c r="D47" s="136">
        <f t="shared" si="9"/>
        <v>9.090909090909067</v>
      </c>
      <c r="E47" s="152"/>
      <c r="F47" s="190">
        <v>0.045</v>
      </c>
      <c r="G47" s="152">
        <f t="shared" si="10"/>
        <v>0.204545454545454</v>
      </c>
      <c r="H47" s="153">
        <f t="shared" si="5"/>
        <v>0.204545454545454</v>
      </c>
      <c r="I47" s="99">
        <f t="shared" si="11"/>
        <v>1419.3409090909054</v>
      </c>
      <c r="J47" s="100">
        <f t="shared" si="1"/>
        <v>0.033444816305432196</v>
      </c>
      <c r="K47" s="100">
        <f t="shared" si="2"/>
        <v>0.03340990159527008</v>
      </c>
      <c r="L47" s="101">
        <f t="shared" si="3"/>
        <v>0.0007679804017089928</v>
      </c>
      <c r="M47" s="101">
        <f t="shared" si="3"/>
        <v>0.0007671786687022698</v>
      </c>
      <c r="N47" s="102">
        <f t="shared" si="7"/>
        <v>5.329016007458701</v>
      </c>
      <c r="O47" s="102">
        <f t="shared" si="12"/>
        <v>5.32345278212505</v>
      </c>
      <c r="P47" s="210"/>
      <c r="Q47" s="92"/>
    </row>
    <row r="48" spans="1:17" ht="15.75" thickBot="1">
      <c r="A48" s="88">
        <v>51089</v>
      </c>
      <c r="B48" s="89">
        <f t="shared" si="4"/>
        <v>184</v>
      </c>
      <c r="C48" s="89">
        <f t="shared" si="0"/>
        <v>7123</v>
      </c>
      <c r="D48" s="90">
        <v>0</v>
      </c>
      <c r="E48" s="193">
        <v>9.090909090909092</v>
      </c>
      <c r="F48" s="75">
        <v>0.045</v>
      </c>
      <c r="G48" s="191">
        <f t="shared" si="10"/>
        <v>0.204545454545454</v>
      </c>
      <c r="H48" s="192">
        <f t="shared" si="5"/>
        <v>9.295454545454545</v>
      </c>
      <c r="I48" s="113">
        <f t="shared" si="11"/>
        <v>66211.52272727272</v>
      </c>
      <c r="J48" s="114">
        <f t="shared" si="1"/>
        <v>1.4491497656590058</v>
      </c>
      <c r="K48" s="114">
        <f t="shared" si="2"/>
        <v>1.4470700184054601</v>
      </c>
      <c r="L48" s="101">
        <f t="shared" si="3"/>
        <v>0.03327626646245125</v>
      </c>
      <c r="M48" s="115">
        <f t="shared" si="3"/>
        <v>0.033228510029387155</v>
      </c>
      <c r="N48" s="102">
        <f t="shared" si="7"/>
        <v>237.02684601204024</v>
      </c>
      <c r="O48" s="116">
        <f t="shared" si="12"/>
        <v>236.6866769393247</v>
      </c>
      <c r="P48" s="211"/>
      <c r="Q48" s="117"/>
    </row>
    <row r="49" spans="8:17" ht="15.75" thickBot="1">
      <c r="H49" s="118">
        <f>SUM(H15:H48)</f>
        <v>143.59999999999997</v>
      </c>
      <c r="I49" s="119">
        <f>SUM(I15:I48)/H49</f>
        <v>4832.0637819701205</v>
      </c>
      <c r="J49" s="145">
        <f>SUM(J15:J48)</f>
        <v>43.590611932817076</v>
      </c>
      <c r="K49" s="145">
        <f>SUM(K15:K48)</f>
        <v>43.54904920881729</v>
      </c>
      <c r="L49" s="121">
        <f>SUM(L15:L48)</f>
        <v>1.0009543887812682</v>
      </c>
      <c r="M49" s="121">
        <f>SUM(M15:M48)</f>
        <v>0.9999999999999999</v>
      </c>
      <c r="N49" s="122">
        <f>SUM(N15:N48)/360</f>
        <v>11.96929081212856</v>
      </c>
      <c r="O49" s="122">
        <f>SUM(O15:O48)/365</f>
        <v>11.792887359375186</v>
      </c>
      <c r="P49" s="146">
        <f>+N49/(1+D3/2)</f>
        <v>11.399324582979581</v>
      </c>
      <c r="Q49" s="146">
        <f>+O49/(1+D3/2)</f>
        <v>11.231321294643033</v>
      </c>
    </row>
    <row r="50" spans="11:14" ht="15.75" thickBot="1">
      <c r="K50" s="124" t="s">
        <v>151</v>
      </c>
      <c r="L50" s="222"/>
      <c r="M50" s="125">
        <f>+I49/365</f>
        <v>13.23853090950718</v>
      </c>
      <c r="N50" s="208"/>
    </row>
    <row r="51" ht="15.75" thickTop="1"/>
  </sheetData>
  <sheetProtection password="DCE5" sheet="1" objects="1" scenarios="1"/>
  <mergeCells count="8">
    <mergeCell ref="S8:T9"/>
    <mergeCell ref="A1:H1"/>
    <mergeCell ref="F9:G9"/>
    <mergeCell ref="F3:G3"/>
    <mergeCell ref="F4:G4"/>
    <mergeCell ref="F5:G5"/>
    <mergeCell ref="F6:G6"/>
    <mergeCell ref="F7:G7"/>
  </mergeCells>
  <dataValidations count="1">
    <dataValidation type="list" allowBlank="1" showInputMessage="1" showErrorMessage="1" sqref="H3">
      <formula1>$AD$3:$AD$5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AA5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5.421875" style="38" customWidth="1"/>
    <col min="2" max="2" width="11.00390625" style="38" hidden="1" customWidth="1"/>
    <col min="3" max="3" width="9.00390625" style="38" hidden="1" customWidth="1"/>
    <col min="4" max="4" width="11.28125" style="38" bestFit="1" customWidth="1"/>
    <col min="5" max="5" width="12.7109375" style="38" bestFit="1" customWidth="1"/>
    <col min="6" max="6" width="12.7109375" style="38" customWidth="1"/>
    <col min="7" max="7" width="12.421875" style="38" customWidth="1"/>
    <col min="8" max="8" width="16.140625" style="38" customWidth="1"/>
    <col min="9" max="10" width="11.421875" style="38" hidden="1" customWidth="1"/>
    <col min="11" max="11" width="20.57421875" style="38" hidden="1" customWidth="1"/>
    <col min="12" max="12" width="13.57421875" style="38" hidden="1" customWidth="1"/>
    <col min="13" max="17" width="11.421875" style="38" hidden="1" customWidth="1"/>
    <col min="18" max="18" width="9.140625" style="38" customWidth="1"/>
    <col min="19" max="20" width="14.57421875" style="38" customWidth="1"/>
    <col min="21" max="26" width="9.140625" style="38" customWidth="1"/>
    <col min="27" max="27" width="0" style="38" hidden="1" customWidth="1"/>
    <col min="28" max="16384" width="9.140625" style="38" customWidth="1"/>
  </cols>
  <sheetData>
    <row r="1" spans="1:8" ht="16.5" thickBot="1">
      <c r="A1" s="262" t="s">
        <v>10</v>
      </c>
      <c r="B1" s="263"/>
      <c r="C1" s="263"/>
      <c r="D1" s="263"/>
      <c r="E1" s="263"/>
      <c r="F1" s="263"/>
      <c r="G1" s="263"/>
      <c r="H1" s="264"/>
    </row>
    <row r="2" ht="15.75" thickBot="1">
      <c r="AA2" s="38" t="s">
        <v>61</v>
      </c>
    </row>
    <row r="3" spans="1:27" ht="15">
      <c r="A3" s="64" t="s">
        <v>176</v>
      </c>
      <c r="B3" s="65"/>
      <c r="C3" s="65"/>
      <c r="D3" s="67">
        <f>+Reestructuracion!O4</f>
        <v>0.1</v>
      </c>
      <c r="F3" s="267" t="s">
        <v>141</v>
      </c>
      <c r="G3" s="268"/>
      <c r="H3" s="213" t="s">
        <v>61</v>
      </c>
      <c r="AA3" s="38" t="s">
        <v>62</v>
      </c>
    </row>
    <row r="4" spans="1:27" ht="15">
      <c r="A4" s="68" t="s">
        <v>194</v>
      </c>
      <c r="B4" s="69"/>
      <c r="C4" s="69"/>
      <c r="D4" s="71">
        <f>IF(Reestructuracion!$D$5="Actual/365",K57,J57)</f>
        <v>42.28573150755368</v>
      </c>
      <c r="F4" s="269" t="s">
        <v>143</v>
      </c>
      <c r="G4" s="270"/>
      <c r="H4" s="224">
        <v>100</v>
      </c>
      <c r="M4" s="154"/>
      <c r="N4" s="154"/>
      <c r="AA4" s="38" t="s">
        <v>63</v>
      </c>
    </row>
    <row r="5" spans="1:27" ht="15">
      <c r="A5" s="72" t="s">
        <v>148</v>
      </c>
      <c r="B5" s="69"/>
      <c r="C5" s="69"/>
      <c r="D5" s="128">
        <f>IF(Reestructuracion!$D$5="Actual/365",O57,N57)</f>
        <v>12.640693758142056</v>
      </c>
      <c r="F5" s="269" t="s">
        <v>142</v>
      </c>
      <c r="G5" s="270"/>
      <c r="H5" s="92">
        <f>VLOOKUP(H3,'Relaciones de canje'!B35:G52,6,FALSE)/100*H4</f>
        <v>100</v>
      </c>
      <c r="M5" s="154"/>
      <c r="N5" s="154"/>
      <c r="AA5" s="38" t="s">
        <v>42</v>
      </c>
    </row>
    <row r="6" spans="1:27" ht="14.25" customHeight="1">
      <c r="A6" s="72" t="s">
        <v>149</v>
      </c>
      <c r="B6" s="69"/>
      <c r="C6" s="69"/>
      <c r="D6" s="129">
        <f>IF(Reestructuracion!$D$5="Actual/365",Q57,P57)</f>
        <v>12.03875596013529</v>
      </c>
      <c r="F6" s="269" t="s">
        <v>157</v>
      </c>
      <c r="G6" s="270"/>
      <c r="H6" s="93">
        <f>VLOOKUP(H3,Reestructuracion!$A$7:$D$23,4,FALSE)</f>
        <v>0</v>
      </c>
      <c r="M6" s="154"/>
      <c r="N6" s="154"/>
      <c r="AA6" s="38" t="s">
        <v>43</v>
      </c>
    </row>
    <row r="7" spans="1:27" ht="14.25" customHeight="1" thickBot="1">
      <c r="A7" s="73" t="s">
        <v>191</v>
      </c>
      <c r="B7" s="74"/>
      <c r="C7" s="74"/>
      <c r="D7" s="76">
        <f>+Reestructuracion!D4</f>
        <v>43966</v>
      </c>
      <c r="F7" s="269" t="s">
        <v>197</v>
      </c>
      <c r="G7" s="270"/>
      <c r="H7" s="93">
        <f>+D4</f>
        <v>42.28573150755368</v>
      </c>
      <c r="M7" s="154"/>
      <c r="N7" s="154"/>
      <c r="AA7" s="38" t="s">
        <v>44</v>
      </c>
    </row>
    <row r="8" spans="6:20" ht="15">
      <c r="F8" s="130" t="s">
        <v>195</v>
      </c>
      <c r="G8" s="131"/>
      <c r="H8" s="93">
        <f>+H7*H5/100</f>
        <v>42.28573150755367</v>
      </c>
      <c r="M8" s="154"/>
      <c r="N8" s="154"/>
      <c r="S8" s="271" t="s">
        <v>198</v>
      </c>
      <c r="T8" s="271"/>
    </row>
    <row r="9" spans="1:20" ht="15.75" thickBot="1">
      <c r="A9" s="110"/>
      <c r="D9" s="62"/>
      <c r="F9" s="265" t="s">
        <v>196</v>
      </c>
      <c r="G9" s="266"/>
      <c r="H9" s="58">
        <f>IF(H6=0,"",((H7/H4*H5)-H6)/H6)</f>
      </c>
      <c r="M9" s="154"/>
      <c r="N9" s="154"/>
      <c r="S9" s="271"/>
      <c r="T9" s="271"/>
    </row>
    <row r="10" spans="1:14" ht="15">
      <c r="A10" s="110"/>
      <c r="D10" s="62"/>
      <c r="M10" s="154"/>
      <c r="N10" s="154"/>
    </row>
    <row r="11" spans="1:14" ht="15">
      <c r="A11" s="150" t="s">
        <v>15</v>
      </c>
      <c r="D11" s="62"/>
      <c r="M11" s="154"/>
      <c r="N11" s="154"/>
    </row>
    <row r="12" ht="15.75" thickBot="1"/>
    <row r="13" spans="1:17" ht="30" customHeight="1" thickBot="1">
      <c r="A13" s="215" t="s">
        <v>16</v>
      </c>
      <c r="B13" s="215" t="s">
        <v>21</v>
      </c>
      <c r="C13" s="215"/>
      <c r="D13" s="215" t="s">
        <v>6</v>
      </c>
      <c r="E13" s="215" t="s">
        <v>17</v>
      </c>
      <c r="F13" s="215" t="s">
        <v>19</v>
      </c>
      <c r="G13" s="215" t="s">
        <v>18</v>
      </c>
      <c r="H13" s="215" t="s">
        <v>20</v>
      </c>
      <c r="I13" s="225" t="s">
        <v>152</v>
      </c>
      <c r="J13" s="215" t="s">
        <v>210</v>
      </c>
      <c r="K13" s="215" t="s">
        <v>146</v>
      </c>
      <c r="L13" s="215" t="s">
        <v>207</v>
      </c>
      <c r="M13" s="215" t="s">
        <v>147</v>
      </c>
      <c r="N13" s="215" t="s">
        <v>217</v>
      </c>
      <c r="O13" s="215" t="s">
        <v>148</v>
      </c>
      <c r="P13" s="215" t="s">
        <v>219</v>
      </c>
      <c r="Q13" s="215" t="s">
        <v>149</v>
      </c>
    </row>
    <row r="14" spans="1:17" ht="15">
      <c r="A14" s="132">
        <v>44880</v>
      </c>
      <c r="B14" s="65"/>
      <c r="C14" s="65"/>
      <c r="D14" s="65"/>
      <c r="E14" s="65"/>
      <c r="F14" s="65"/>
      <c r="G14" s="65"/>
      <c r="H14" s="134"/>
      <c r="I14" s="135"/>
      <c r="J14" s="65"/>
      <c r="K14" s="65"/>
      <c r="L14" s="65"/>
      <c r="M14" s="65"/>
      <c r="N14" s="65"/>
      <c r="O14" s="65"/>
      <c r="P14" s="223"/>
      <c r="Q14" s="134"/>
    </row>
    <row r="15" spans="1:17" ht="15">
      <c r="A15" s="84">
        <v>45061</v>
      </c>
      <c r="B15" s="155">
        <f>+A15-A14</f>
        <v>181</v>
      </c>
      <c r="C15" s="155">
        <f aca="true" t="shared" si="0" ref="C15:C56">+A15-$D$7</f>
        <v>1095</v>
      </c>
      <c r="D15" s="69">
        <v>100</v>
      </c>
      <c r="E15" s="152"/>
      <c r="F15" s="139">
        <v>0.006</v>
      </c>
      <c r="G15" s="137">
        <f>+D15*F15/2</f>
        <v>0.3</v>
      </c>
      <c r="H15" s="158">
        <f>+G15+E15</f>
        <v>0.3</v>
      </c>
      <c r="I15" s="99">
        <f>+H15*C15</f>
        <v>328.5</v>
      </c>
      <c r="J15" s="100">
        <f aca="true" t="shared" si="1" ref="J15:J56">H15/((1+$D$3)^(DAYS360($D$7,A15)/360))</f>
        <v>0.22539444027047326</v>
      </c>
      <c r="K15" s="100">
        <f aca="true" t="shared" si="2" ref="K15:K56">H15/((1+$D$3)^(C15/365))</f>
        <v>0.22539444027047326</v>
      </c>
      <c r="L15" s="101">
        <f>+J15/$D$4</f>
        <v>0.005330271754438258</v>
      </c>
      <c r="M15" s="101">
        <f aca="true" t="shared" si="3" ref="M15:M56">+K15/$D$4</f>
        <v>0.005330271754438258</v>
      </c>
      <c r="N15" s="102">
        <f>+L15*C15</f>
        <v>5.836647571109892</v>
      </c>
      <c r="O15" s="102">
        <f>+M15*C15</f>
        <v>5.836647571109892</v>
      </c>
      <c r="P15" s="210"/>
      <c r="Q15" s="92"/>
    </row>
    <row r="16" spans="1:17" ht="15">
      <c r="A16" s="84">
        <v>45245</v>
      </c>
      <c r="B16" s="155">
        <f aca="true" t="shared" si="4" ref="B16:B56">+A16-A15</f>
        <v>184</v>
      </c>
      <c r="C16" s="155">
        <f t="shared" si="0"/>
        <v>1279</v>
      </c>
      <c r="D16" s="136">
        <f>+D15-E16</f>
        <v>100</v>
      </c>
      <c r="E16" s="152"/>
      <c r="F16" s="139">
        <v>0.006</v>
      </c>
      <c r="G16" s="137">
        <f>+D15*F16/2</f>
        <v>0.3</v>
      </c>
      <c r="H16" s="158">
        <f aca="true" t="shared" si="5" ref="H16:H56">+G16+E16</f>
        <v>0.3</v>
      </c>
      <c r="I16" s="99">
        <f aca="true" t="shared" si="6" ref="I16:I48">+H16*C16</f>
        <v>383.7</v>
      </c>
      <c r="J16" s="100">
        <f t="shared" si="1"/>
        <v>0.21490516662184644</v>
      </c>
      <c r="K16" s="100">
        <f t="shared" si="2"/>
        <v>0.2148210078305518</v>
      </c>
      <c r="L16" s="101">
        <f aca="true" t="shared" si="7" ref="L16:L56">+J16/$D$4</f>
        <v>0.005082214708369347</v>
      </c>
      <c r="M16" s="101">
        <f t="shared" si="3"/>
        <v>0.005080224467493897</v>
      </c>
      <c r="N16" s="102">
        <f aca="true" t="shared" si="8" ref="N16:N56">+L16*C16</f>
        <v>6.5001526120043955</v>
      </c>
      <c r="O16" s="102">
        <f aca="true" t="shared" si="9" ref="O16:O48">+M16*C16</f>
        <v>6.497607093924695</v>
      </c>
      <c r="P16" s="210"/>
      <c r="Q16" s="92"/>
    </row>
    <row r="17" spans="1:17" ht="15">
      <c r="A17" s="84">
        <v>45427</v>
      </c>
      <c r="B17" s="155">
        <f t="shared" si="4"/>
        <v>182</v>
      </c>
      <c r="C17" s="155">
        <f t="shared" si="0"/>
        <v>1461</v>
      </c>
      <c r="D17" s="136">
        <f aca="true" t="shared" si="10" ref="D17:D56">+D16-E17</f>
        <v>100</v>
      </c>
      <c r="E17" s="152"/>
      <c r="F17" s="139">
        <v>0.03</v>
      </c>
      <c r="G17" s="137">
        <f aca="true" t="shared" si="11" ref="G17:G56">+D16*F17/2</f>
        <v>1.5</v>
      </c>
      <c r="H17" s="158">
        <f t="shared" si="5"/>
        <v>1.5</v>
      </c>
      <c r="I17" s="99">
        <f t="shared" si="6"/>
        <v>2191.5</v>
      </c>
      <c r="J17" s="100">
        <f t="shared" si="1"/>
        <v>1.0245201830476058</v>
      </c>
      <c r="K17" s="100">
        <f t="shared" si="2"/>
        <v>1.0242526913901655</v>
      </c>
      <c r="L17" s="101">
        <f t="shared" si="7"/>
        <v>0.024228507974719357</v>
      </c>
      <c r="M17" s="101">
        <f t="shared" si="3"/>
        <v>0.02422218216107244</v>
      </c>
      <c r="N17" s="102">
        <f t="shared" si="8"/>
        <v>35.39785015106498</v>
      </c>
      <c r="O17" s="102">
        <f t="shared" si="9"/>
        <v>35.388608137326834</v>
      </c>
      <c r="P17" s="210"/>
      <c r="Q17" s="92"/>
    </row>
    <row r="18" spans="1:17" ht="15">
      <c r="A18" s="84">
        <v>45611</v>
      </c>
      <c r="B18" s="155">
        <f t="shared" si="4"/>
        <v>184</v>
      </c>
      <c r="C18" s="155">
        <f t="shared" si="0"/>
        <v>1645</v>
      </c>
      <c r="D18" s="136">
        <f t="shared" si="10"/>
        <v>100</v>
      </c>
      <c r="E18" s="152"/>
      <c r="F18" s="139">
        <v>0.03</v>
      </c>
      <c r="G18" s="137">
        <f t="shared" si="11"/>
        <v>1.5</v>
      </c>
      <c r="H18" s="158">
        <f t="shared" si="5"/>
        <v>1.5</v>
      </c>
      <c r="I18" s="99">
        <f t="shared" si="6"/>
        <v>2467.5</v>
      </c>
      <c r="J18" s="100">
        <f t="shared" si="1"/>
        <v>0.9768416664629384</v>
      </c>
      <c r="K18" s="100">
        <f t="shared" si="2"/>
        <v>0.9762041830914435</v>
      </c>
      <c r="L18" s="101">
        <f t="shared" si="7"/>
        <v>0.0231009759471334</v>
      </c>
      <c r="M18" s="101">
        <f t="shared" si="3"/>
        <v>0.023085900333001456</v>
      </c>
      <c r="N18" s="102">
        <f t="shared" si="8"/>
        <v>38.00110543303444</v>
      </c>
      <c r="O18" s="102">
        <f t="shared" si="9"/>
        <v>37.976306047787396</v>
      </c>
      <c r="P18" s="210"/>
      <c r="Q18" s="92"/>
    </row>
    <row r="19" spans="1:17" ht="15">
      <c r="A19" s="84">
        <v>45792</v>
      </c>
      <c r="B19" s="155">
        <f t="shared" si="4"/>
        <v>181</v>
      </c>
      <c r="C19" s="155">
        <f t="shared" si="0"/>
        <v>1826</v>
      </c>
      <c r="D19" s="136">
        <f t="shared" si="10"/>
        <v>100</v>
      </c>
      <c r="E19" s="152"/>
      <c r="F19" s="139">
        <v>0.03</v>
      </c>
      <c r="G19" s="137">
        <f t="shared" si="11"/>
        <v>1.5</v>
      </c>
      <c r="H19" s="158">
        <f t="shared" si="5"/>
        <v>1.5</v>
      </c>
      <c r="I19" s="99">
        <f t="shared" si="6"/>
        <v>2739</v>
      </c>
      <c r="J19" s="100">
        <f t="shared" si="1"/>
        <v>0.9313819845887324</v>
      </c>
      <c r="K19" s="100">
        <f t="shared" si="2"/>
        <v>0.9311388103546958</v>
      </c>
      <c r="L19" s="101">
        <f t="shared" si="7"/>
        <v>0.022025916340653956</v>
      </c>
      <c r="M19" s="101">
        <f t="shared" si="3"/>
        <v>0.022020165600974945</v>
      </c>
      <c r="N19" s="102">
        <f t="shared" si="8"/>
        <v>40.21932323803412</v>
      </c>
      <c r="O19" s="102">
        <f t="shared" si="9"/>
        <v>40.20882238738025</v>
      </c>
      <c r="P19" s="210"/>
      <c r="Q19" s="92"/>
    </row>
    <row r="20" spans="1:17" ht="15">
      <c r="A20" s="84">
        <v>45976</v>
      </c>
      <c r="B20" s="155">
        <f t="shared" si="4"/>
        <v>184</v>
      </c>
      <c r="C20" s="155">
        <f t="shared" si="0"/>
        <v>2010</v>
      </c>
      <c r="D20" s="136">
        <f t="shared" si="10"/>
        <v>100</v>
      </c>
      <c r="E20" s="152"/>
      <c r="F20" s="139">
        <v>0.03</v>
      </c>
      <c r="G20" s="137">
        <f t="shared" si="11"/>
        <v>1.5</v>
      </c>
      <c r="H20" s="158">
        <f t="shared" si="5"/>
        <v>1.5</v>
      </c>
      <c r="I20" s="99">
        <f t="shared" si="6"/>
        <v>3015</v>
      </c>
      <c r="J20" s="100">
        <f t="shared" si="1"/>
        <v>0.8880378786026712</v>
      </c>
      <c r="K20" s="100">
        <f t="shared" si="2"/>
        <v>0.8874583482649486</v>
      </c>
      <c r="L20" s="101">
        <f t="shared" si="7"/>
        <v>0.021000887224666726</v>
      </c>
      <c r="M20" s="101">
        <f t="shared" si="3"/>
        <v>0.020987182120910414</v>
      </c>
      <c r="N20" s="102">
        <f t="shared" si="8"/>
        <v>42.21178332158012</v>
      </c>
      <c r="O20" s="102">
        <f t="shared" si="9"/>
        <v>42.18423606302993</v>
      </c>
      <c r="P20" s="210"/>
      <c r="Q20" s="92"/>
    </row>
    <row r="21" spans="1:17" ht="15">
      <c r="A21" s="84">
        <v>46157</v>
      </c>
      <c r="B21" s="155">
        <f t="shared" si="4"/>
        <v>181</v>
      </c>
      <c r="C21" s="155">
        <f t="shared" si="0"/>
        <v>2191</v>
      </c>
      <c r="D21" s="136">
        <f t="shared" si="10"/>
        <v>100</v>
      </c>
      <c r="E21" s="152"/>
      <c r="F21" s="139">
        <v>0.03625</v>
      </c>
      <c r="G21" s="137">
        <f t="shared" si="11"/>
        <v>1.8124999999999998</v>
      </c>
      <c r="H21" s="158">
        <f t="shared" si="5"/>
        <v>1.8124999999999998</v>
      </c>
      <c r="I21" s="99">
        <f t="shared" si="6"/>
        <v>3971.1874999999995</v>
      </c>
      <c r="J21" s="100">
        <f t="shared" si="1"/>
        <v>1.023108998222471</v>
      </c>
      <c r="K21" s="100">
        <f t="shared" si="2"/>
        <v>1.02284187501084</v>
      </c>
      <c r="L21" s="101">
        <f t="shared" si="7"/>
        <v>0.024195135374203206</v>
      </c>
      <c r="M21" s="101">
        <f t="shared" si="3"/>
        <v>0.024188818273798228</v>
      </c>
      <c r="N21" s="102">
        <f t="shared" si="8"/>
        <v>53.01154160487923</v>
      </c>
      <c r="O21" s="102">
        <f t="shared" si="9"/>
        <v>52.99770083789192</v>
      </c>
      <c r="P21" s="210"/>
      <c r="Q21" s="92"/>
    </row>
    <row r="22" spans="1:17" ht="15">
      <c r="A22" s="84">
        <v>46341</v>
      </c>
      <c r="B22" s="155">
        <f t="shared" si="4"/>
        <v>184</v>
      </c>
      <c r="C22" s="155">
        <f t="shared" si="0"/>
        <v>2375</v>
      </c>
      <c r="D22" s="136">
        <f t="shared" si="10"/>
        <v>100</v>
      </c>
      <c r="E22" s="152"/>
      <c r="F22" s="139">
        <v>0.03625</v>
      </c>
      <c r="G22" s="137">
        <f t="shared" si="11"/>
        <v>1.8124999999999998</v>
      </c>
      <c r="H22" s="158">
        <f t="shared" si="5"/>
        <v>1.8124999999999998</v>
      </c>
      <c r="I22" s="99">
        <f t="shared" si="6"/>
        <v>4304.687499999999</v>
      </c>
      <c r="J22" s="100">
        <f t="shared" si="1"/>
        <v>0.9754961545256613</v>
      </c>
      <c r="K22" s="100">
        <f t="shared" si="2"/>
        <v>0.9748595492304357</v>
      </c>
      <c r="L22" s="101">
        <f t="shared" si="7"/>
        <v>0.023069156421035412</v>
      </c>
      <c r="M22" s="101">
        <f t="shared" si="3"/>
        <v>0.023054101572212188</v>
      </c>
      <c r="N22" s="102">
        <f t="shared" si="8"/>
        <v>54.789246499959106</v>
      </c>
      <c r="O22" s="102">
        <f t="shared" si="9"/>
        <v>54.753491234003945</v>
      </c>
      <c r="P22" s="210"/>
      <c r="Q22" s="92"/>
    </row>
    <row r="23" spans="1:17" ht="15">
      <c r="A23" s="84">
        <v>46522</v>
      </c>
      <c r="B23" s="155">
        <f t="shared" si="4"/>
        <v>181</v>
      </c>
      <c r="C23" s="155">
        <f t="shared" si="0"/>
        <v>2556</v>
      </c>
      <c r="D23" s="136">
        <f t="shared" si="10"/>
        <v>100</v>
      </c>
      <c r="E23" s="152"/>
      <c r="F23" s="139">
        <v>0.03625</v>
      </c>
      <c r="G23" s="137">
        <f t="shared" si="11"/>
        <v>1.8124999999999998</v>
      </c>
      <c r="H23" s="158">
        <f t="shared" si="5"/>
        <v>1.8124999999999998</v>
      </c>
      <c r="I23" s="99">
        <f t="shared" si="6"/>
        <v>4632.749999999999</v>
      </c>
      <c r="J23" s="100">
        <f t="shared" si="1"/>
        <v>0.9300990892931553</v>
      </c>
      <c r="K23" s="100">
        <f t="shared" si="2"/>
        <v>0.9298562500098545</v>
      </c>
      <c r="L23" s="101">
        <f t="shared" si="7"/>
        <v>0.021995577612912</v>
      </c>
      <c r="M23" s="101">
        <f t="shared" si="3"/>
        <v>0.021989834794362027</v>
      </c>
      <c r="N23" s="102">
        <f t="shared" si="8"/>
        <v>56.22069637860307</v>
      </c>
      <c r="O23" s="102">
        <f t="shared" si="9"/>
        <v>56.20601773438934</v>
      </c>
      <c r="P23" s="210"/>
      <c r="Q23" s="92"/>
    </row>
    <row r="24" spans="1:17" ht="15">
      <c r="A24" s="84">
        <v>46706</v>
      </c>
      <c r="B24" s="155">
        <f t="shared" si="4"/>
        <v>184</v>
      </c>
      <c r="C24" s="155">
        <f t="shared" si="0"/>
        <v>2740</v>
      </c>
      <c r="D24" s="136">
        <f t="shared" si="10"/>
        <v>100</v>
      </c>
      <c r="E24" s="152"/>
      <c r="F24" s="139">
        <v>0.03625</v>
      </c>
      <c r="G24" s="137">
        <f t="shared" si="11"/>
        <v>1.8124999999999998</v>
      </c>
      <c r="H24" s="158">
        <f t="shared" si="5"/>
        <v>1.8124999999999998</v>
      </c>
      <c r="I24" s="99">
        <f t="shared" si="6"/>
        <v>4966.249999999999</v>
      </c>
      <c r="J24" s="100">
        <f t="shared" si="1"/>
        <v>0.8868146859324192</v>
      </c>
      <c r="K24" s="100">
        <f t="shared" si="2"/>
        <v>0.8862359538458505</v>
      </c>
      <c r="L24" s="101">
        <f t="shared" si="7"/>
        <v>0.02097196038275946</v>
      </c>
      <c r="M24" s="101">
        <f t="shared" si="3"/>
        <v>0.02095827415655653</v>
      </c>
      <c r="N24" s="102">
        <f t="shared" si="8"/>
        <v>57.463171448760924</v>
      </c>
      <c r="O24" s="102">
        <f t="shared" si="9"/>
        <v>57.42567118896489</v>
      </c>
      <c r="P24" s="210"/>
      <c r="Q24" s="92"/>
    </row>
    <row r="25" spans="1:17" ht="15">
      <c r="A25" s="84">
        <v>46888</v>
      </c>
      <c r="B25" s="155">
        <f t="shared" si="4"/>
        <v>182</v>
      </c>
      <c r="C25" s="155">
        <f t="shared" si="0"/>
        <v>2922</v>
      </c>
      <c r="D25" s="136">
        <f t="shared" si="10"/>
        <v>100</v>
      </c>
      <c r="E25" s="152"/>
      <c r="F25" s="139">
        <v>0.03625</v>
      </c>
      <c r="G25" s="137">
        <f t="shared" si="11"/>
        <v>1.8124999999999998</v>
      </c>
      <c r="H25" s="158">
        <f t="shared" si="5"/>
        <v>1.8124999999999998</v>
      </c>
      <c r="I25" s="99">
        <f t="shared" si="6"/>
        <v>5296.124999999999</v>
      </c>
      <c r="J25" s="100">
        <f t="shared" si="1"/>
        <v>0.8455446266301413</v>
      </c>
      <c r="K25" s="100">
        <f t="shared" si="2"/>
        <v>0.8451031582994425</v>
      </c>
      <c r="L25" s="101">
        <f t="shared" si="7"/>
        <v>0.019995979648101823</v>
      </c>
      <c r="M25" s="101">
        <f t="shared" si="3"/>
        <v>0.019985539522911603</v>
      </c>
      <c r="N25" s="102">
        <f t="shared" si="8"/>
        <v>58.42825253175353</v>
      </c>
      <c r="O25" s="102">
        <f t="shared" si="9"/>
        <v>58.39774648594771</v>
      </c>
      <c r="P25" s="210"/>
      <c r="Q25" s="92"/>
    </row>
    <row r="26" spans="1:17" ht="15">
      <c r="A26" s="84">
        <v>47072</v>
      </c>
      <c r="B26" s="155">
        <f t="shared" si="4"/>
        <v>184</v>
      </c>
      <c r="C26" s="155">
        <f t="shared" si="0"/>
        <v>3106</v>
      </c>
      <c r="D26" s="136">
        <f t="shared" si="10"/>
        <v>100</v>
      </c>
      <c r="E26" s="152"/>
      <c r="F26" s="139">
        <v>0.03625</v>
      </c>
      <c r="G26" s="137">
        <f t="shared" si="11"/>
        <v>1.8124999999999998</v>
      </c>
      <c r="H26" s="158">
        <f t="shared" si="5"/>
        <v>1.8124999999999998</v>
      </c>
      <c r="I26" s="99">
        <f t="shared" si="6"/>
        <v>5629.624999999999</v>
      </c>
      <c r="J26" s="100">
        <f t="shared" si="1"/>
        <v>0.806195169029472</v>
      </c>
      <c r="K26" s="100">
        <f t="shared" si="2"/>
        <v>0.8054586970681865</v>
      </c>
      <c r="L26" s="101">
        <f t="shared" si="7"/>
        <v>0.019065418529781327</v>
      </c>
      <c r="M26" s="101">
        <f t="shared" si="3"/>
        <v>0.019048001970222606</v>
      </c>
      <c r="N26" s="102">
        <f t="shared" si="8"/>
        <v>59.2171899535008</v>
      </c>
      <c r="O26" s="102">
        <f t="shared" si="9"/>
        <v>59.16309411951141</v>
      </c>
      <c r="P26" s="210"/>
      <c r="Q26" s="92"/>
    </row>
    <row r="27" spans="1:17" ht="15">
      <c r="A27" s="84">
        <v>47253</v>
      </c>
      <c r="B27" s="155">
        <f t="shared" si="4"/>
        <v>181</v>
      </c>
      <c r="C27" s="155">
        <f t="shared" si="0"/>
        <v>3287</v>
      </c>
      <c r="D27" s="136">
        <f t="shared" si="10"/>
        <v>100</v>
      </c>
      <c r="E27" s="152"/>
      <c r="F27" s="139">
        <v>0.03625</v>
      </c>
      <c r="G27" s="137">
        <f t="shared" si="11"/>
        <v>1.8124999999999998</v>
      </c>
      <c r="H27" s="158">
        <f t="shared" si="5"/>
        <v>1.8124999999999998</v>
      </c>
      <c r="I27" s="99">
        <f t="shared" si="6"/>
        <v>5957.687499999999</v>
      </c>
      <c r="J27" s="100">
        <f t="shared" si="1"/>
        <v>0.7686769333001283</v>
      </c>
      <c r="K27" s="100">
        <f t="shared" si="2"/>
        <v>0.7682755984540386</v>
      </c>
      <c r="L27" s="101">
        <f t="shared" si="7"/>
        <v>0.0181781633164562</v>
      </c>
      <c r="M27" s="101">
        <f t="shared" si="3"/>
        <v>0.018168672293556003</v>
      </c>
      <c r="N27" s="102">
        <f t="shared" si="8"/>
        <v>59.751622821191525</v>
      </c>
      <c r="O27" s="102">
        <f t="shared" si="9"/>
        <v>59.72042582891858</v>
      </c>
      <c r="P27" s="210"/>
      <c r="Q27" s="92"/>
    </row>
    <row r="28" spans="1:17" ht="15">
      <c r="A28" s="84">
        <v>47437</v>
      </c>
      <c r="B28" s="155">
        <f t="shared" si="4"/>
        <v>184</v>
      </c>
      <c r="C28" s="155">
        <f t="shared" si="0"/>
        <v>3471</v>
      </c>
      <c r="D28" s="136">
        <f t="shared" si="10"/>
        <v>100</v>
      </c>
      <c r="E28" s="152"/>
      <c r="F28" s="139">
        <v>0.04875</v>
      </c>
      <c r="G28" s="137">
        <f t="shared" si="11"/>
        <v>2.4375</v>
      </c>
      <c r="H28" s="158">
        <f t="shared" si="5"/>
        <v>2.4375</v>
      </c>
      <c r="I28" s="99">
        <f t="shared" si="6"/>
        <v>8460.5625</v>
      </c>
      <c r="J28" s="100">
        <f t="shared" si="1"/>
        <v>0.9856304574341508</v>
      </c>
      <c r="K28" s="100">
        <f t="shared" si="2"/>
        <v>0.9847300685159647</v>
      </c>
      <c r="L28" s="101">
        <f t="shared" si="7"/>
        <v>0.02330881889220915</v>
      </c>
      <c r="M28" s="101">
        <f t="shared" si="3"/>
        <v>0.023287525919707886</v>
      </c>
      <c r="N28" s="102">
        <f t="shared" si="8"/>
        <v>80.90491037485796</v>
      </c>
      <c r="O28" s="102">
        <f t="shared" si="9"/>
        <v>80.83100246730608</v>
      </c>
      <c r="P28" s="210"/>
      <c r="Q28" s="92"/>
    </row>
    <row r="29" spans="1:17" ht="15">
      <c r="A29" s="84">
        <v>47618</v>
      </c>
      <c r="B29" s="155">
        <f t="shared" si="4"/>
        <v>181</v>
      </c>
      <c r="C29" s="155">
        <f t="shared" si="0"/>
        <v>3652</v>
      </c>
      <c r="D29" s="136">
        <f t="shared" si="10"/>
        <v>100</v>
      </c>
      <c r="E29" s="152"/>
      <c r="F29" s="139">
        <v>0.04875</v>
      </c>
      <c r="G29" s="137">
        <f t="shared" si="11"/>
        <v>2.4375</v>
      </c>
      <c r="H29" s="158">
        <f t="shared" si="5"/>
        <v>2.4375</v>
      </c>
      <c r="I29" s="99">
        <f t="shared" si="6"/>
        <v>8901.75</v>
      </c>
      <c r="J29" s="100">
        <f t="shared" si="1"/>
        <v>0.939761767984483</v>
      </c>
      <c r="K29" s="100">
        <f t="shared" si="2"/>
        <v>0.9392711078278215</v>
      </c>
      <c r="L29" s="101">
        <f t="shared" si="7"/>
        <v>0.022224086813222313</v>
      </c>
      <c r="M29" s="101">
        <f t="shared" si="3"/>
        <v>0.022212483368297307</v>
      </c>
      <c r="N29" s="102">
        <f t="shared" si="8"/>
        <v>81.16236504188788</v>
      </c>
      <c r="O29" s="102">
        <f t="shared" si="9"/>
        <v>81.11998926102177</v>
      </c>
      <c r="P29" s="210"/>
      <c r="Q29" s="92"/>
    </row>
    <row r="30" spans="1:17" ht="15">
      <c r="A30" s="84">
        <v>47802</v>
      </c>
      <c r="B30" s="155">
        <f t="shared" si="4"/>
        <v>184</v>
      </c>
      <c r="C30" s="155">
        <f t="shared" si="0"/>
        <v>3836</v>
      </c>
      <c r="D30" s="136">
        <f t="shared" si="10"/>
        <v>92.85714285714286</v>
      </c>
      <c r="E30" s="152">
        <v>7.142857142857143</v>
      </c>
      <c r="F30" s="139">
        <v>0.04875</v>
      </c>
      <c r="G30" s="137">
        <f t="shared" si="11"/>
        <v>2.4375</v>
      </c>
      <c r="H30" s="158">
        <f>+G30+E30</f>
        <v>9.580357142857142</v>
      </c>
      <c r="I30" s="99">
        <f t="shared" si="6"/>
        <v>36750.25</v>
      </c>
      <c r="J30" s="100">
        <f t="shared" si="1"/>
        <v>3.521749852903242</v>
      </c>
      <c r="K30" s="100">
        <f t="shared" si="2"/>
        <v>3.518532679046387</v>
      </c>
      <c r="L30" s="101">
        <f t="shared" si="7"/>
        <v>0.08328459098015455</v>
      </c>
      <c r="M30" s="101">
        <f t="shared" si="3"/>
        <v>0.08320850919695824</v>
      </c>
      <c r="N30" s="102">
        <f t="shared" si="8"/>
        <v>319.47969099987284</v>
      </c>
      <c r="O30" s="102">
        <f t="shared" si="9"/>
        <v>319.1878412795318</v>
      </c>
      <c r="P30" s="210"/>
      <c r="Q30" s="92"/>
    </row>
    <row r="31" spans="1:17" ht="15">
      <c r="A31" s="84">
        <v>47983</v>
      </c>
      <c r="B31" s="155">
        <f t="shared" si="4"/>
        <v>181</v>
      </c>
      <c r="C31" s="155">
        <f t="shared" si="0"/>
        <v>4017</v>
      </c>
      <c r="D31" s="136">
        <f t="shared" si="10"/>
        <v>92.85714285714286</v>
      </c>
      <c r="E31" s="152"/>
      <c r="F31" s="139">
        <v>0.04875</v>
      </c>
      <c r="G31" s="137">
        <f t="shared" si="11"/>
        <v>2.263392857142857</v>
      </c>
      <c r="H31" s="158">
        <f t="shared" si="5"/>
        <v>2.263392857142857</v>
      </c>
      <c r="I31" s="99">
        <f t="shared" si="6"/>
        <v>9092.049107142857</v>
      </c>
      <c r="J31" s="100">
        <f t="shared" si="1"/>
        <v>0.7933053885583297</v>
      </c>
      <c r="K31" s="100">
        <f t="shared" si="2"/>
        <v>0.7928911949195895</v>
      </c>
      <c r="L31" s="101">
        <f t="shared" si="7"/>
        <v>0.018760592764408442</v>
      </c>
      <c r="M31" s="101">
        <f t="shared" si="3"/>
        <v>0.01875079764856266</v>
      </c>
      <c r="N31" s="102">
        <f t="shared" si="8"/>
        <v>75.36130113462872</v>
      </c>
      <c r="O31" s="102">
        <f t="shared" si="9"/>
        <v>75.32195415427621</v>
      </c>
      <c r="P31" s="210"/>
      <c r="Q31" s="92"/>
    </row>
    <row r="32" spans="1:17" ht="15">
      <c r="A32" s="84">
        <v>48167</v>
      </c>
      <c r="B32" s="155">
        <f t="shared" si="4"/>
        <v>184</v>
      </c>
      <c r="C32" s="155">
        <f t="shared" si="0"/>
        <v>4201</v>
      </c>
      <c r="D32" s="136">
        <f t="shared" si="10"/>
        <v>85.71428571428572</v>
      </c>
      <c r="E32" s="152">
        <v>7.142857142857143</v>
      </c>
      <c r="F32" s="139">
        <v>0.04875</v>
      </c>
      <c r="G32" s="137">
        <f t="shared" si="11"/>
        <v>2.263392857142857</v>
      </c>
      <c r="H32" s="158">
        <f t="shared" si="5"/>
        <v>9.40625</v>
      </c>
      <c r="I32" s="99">
        <f t="shared" si="6"/>
        <v>39515.65625</v>
      </c>
      <c r="J32" s="100">
        <f t="shared" si="1"/>
        <v>3.1434071592252524</v>
      </c>
      <c r="K32" s="100">
        <f t="shared" si="2"/>
        <v>3.1405356073670836</v>
      </c>
      <c r="L32" s="101">
        <f t="shared" si="7"/>
        <v>0.07433730119257206</v>
      </c>
      <c r="M32" s="101">
        <f t="shared" si="3"/>
        <v>0.07426939289925909</v>
      </c>
      <c r="N32" s="102">
        <f t="shared" si="8"/>
        <v>312.29100230999524</v>
      </c>
      <c r="O32" s="102">
        <f t="shared" si="9"/>
        <v>312.0057195697874</v>
      </c>
      <c r="P32" s="210"/>
      <c r="Q32" s="92"/>
    </row>
    <row r="33" spans="1:17" ht="15">
      <c r="A33" s="84">
        <v>48349</v>
      </c>
      <c r="B33" s="155">
        <f t="shared" si="4"/>
        <v>182</v>
      </c>
      <c r="C33" s="155">
        <f t="shared" si="0"/>
        <v>4383</v>
      </c>
      <c r="D33" s="136">
        <f t="shared" si="10"/>
        <v>85.71428571428572</v>
      </c>
      <c r="E33" s="152"/>
      <c r="F33" s="139">
        <v>0.04875</v>
      </c>
      <c r="G33" s="137">
        <f t="shared" si="11"/>
        <v>2.0892857142857144</v>
      </c>
      <c r="H33" s="158">
        <f t="shared" si="5"/>
        <v>2.0892857142857144</v>
      </c>
      <c r="I33" s="99">
        <f t="shared" si="6"/>
        <v>9157.339285714286</v>
      </c>
      <c r="J33" s="100">
        <f t="shared" si="1"/>
        <v>0.6657108155734236</v>
      </c>
      <c r="K33" s="100">
        <f t="shared" si="2"/>
        <v>0.6651895210094738</v>
      </c>
      <c r="L33" s="101">
        <f t="shared" si="7"/>
        <v>0.01574315476733576</v>
      </c>
      <c r="M33" s="101">
        <f t="shared" si="3"/>
        <v>0.015730826860371288</v>
      </c>
      <c r="N33" s="102">
        <f t="shared" si="8"/>
        <v>69.00224734523263</v>
      </c>
      <c r="O33" s="102">
        <f t="shared" si="9"/>
        <v>68.94821412900735</v>
      </c>
      <c r="P33" s="210"/>
      <c r="Q33" s="92"/>
    </row>
    <row r="34" spans="1:17" ht="15">
      <c r="A34" s="84">
        <v>48533</v>
      </c>
      <c r="B34" s="155">
        <f t="shared" si="4"/>
        <v>184</v>
      </c>
      <c r="C34" s="155">
        <f t="shared" si="0"/>
        <v>4567</v>
      </c>
      <c r="D34" s="136">
        <f t="shared" si="10"/>
        <v>78.57142857142858</v>
      </c>
      <c r="E34" s="152">
        <v>7.142857142857143</v>
      </c>
      <c r="F34" s="139">
        <v>0.04875</v>
      </c>
      <c r="G34" s="137">
        <f t="shared" si="11"/>
        <v>2.0892857142857144</v>
      </c>
      <c r="H34" s="158">
        <f t="shared" si="5"/>
        <v>9.232142857142858</v>
      </c>
      <c r="I34" s="99">
        <f t="shared" si="6"/>
        <v>42163.19642857143</v>
      </c>
      <c r="J34" s="100">
        <f t="shared" si="1"/>
        <v>2.8047486755308375</v>
      </c>
      <c r="K34" s="100">
        <f t="shared" si="2"/>
        <v>2.801454871517505</v>
      </c>
      <c r="L34" s="101">
        <f t="shared" si="7"/>
        <v>0.06632848896157356</v>
      </c>
      <c r="M34" s="101">
        <f t="shared" si="3"/>
        <v>0.06625059497946889</v>
      </c>
      <c r="N34" s="102">
        <f t="shared" si="8"/>
        <v>302.9222090875065</v>
      </c>
      <c r="O34" s="102">
        <f t="shared" si="9"/>
        <v>302.56646727123444</v>
      </c>
      <c r="P34" s="210"/>
      <c r="Q34" s="92"/>
    </row>
    <row r="35" spans="1:17" ht="15">
      <c r="A35" s="84">
        <v>48714</v>
      </c>
      <c r="B35" s="155">
        <f t="shared" si="4"/>
        <v>181</v>
      </c>
      <c r="C35" s="155">
        <f t="shared" si="0"/>
        <v>4748</v>
      </c>
      <c r="D35" s="136">
        <f t="shared" si="10"/>
        <v>78.57142857142858</v>
      </c>
      <c r="E35" s="152"/>
      <c r="F35" s="139">
        <v>0.04875</v>
      </c>
      <c r="G35" s="137">
        <f t="shared" si="11"/>
        <v>1.9151785714285718</v>
      </c>
      <c r="H35" s="158">
        <f t="shared" si="5"/>
        <v>1.9151785714285718</v>
      </c>
      <c r="I35" s="99">
        <f t="shared" si="6"/>
        <v>9093.267857142859</v>
      </c>
      <c r="J35" s="100">
        <f t="shared" si="1"/>
        <v>0.554759012977853</v>
      </c>
      <c r="K35" s="100">
        <f t="shared" si="2"/>
        <v>0.5543246008412283</v>
      </c>
      <c r="L35" s="101">
        <f t="shared" si="7"/>
        <v>0.013119295639446466</v>
      </c>
      <c r="M35" s="101">
        <f t="shared" si="3"/>
        <v>0.01310902238364274</v>
      </c>
      <c r="N35" s="102">
        <f t="shared" si="8"/>
        <v>62.29041569609182</v>
      </c>
      <c r="O35" s="102">
        <f t="shared" si="9"/>
        <v>62.241638277535735</v>
      </c>
      <c r="P35" s="210"/>
      <c r="Q35" s="92"/>
    </row>
    <row r="36" spans="1:17" ht="15">
      <c r="A36" s="84">
        <v>48898</v>
      </c>
      <c r="B36" s="155">
        <f t="shared" si="4"/>
        <v>184</v>
      </c>
      <c r="C36" s="155">
        <f t="shared" si="0"/>
        <v>4932</v>
      </c>
      <c r="D36" s="136">
        <f t="shared" si="10"/>
        <v>71.42857142857144</v>
      </c>
      <c r="E36" s="152">
        <v>7.142857142857143</v>
      </c>
      <c r="F36" s="139">
        <v>0.04875</v>
      </c>
      <c r="G36" s="137">
        <f t="shared" si="11"/>
        <v>1.9151785714285718</v>
      </c>
      <c r="H36" s="158">
        <f t="shared" si="5"/>
        <v>9.058035714285715</v>
      </c>
      <c r="I36" s="99">
        <f t="shared" si="6"/>
        <v>44674.232142857145</v>
      </c>
      <c r="J36" s="100">
        <f t="shared" si="1"/>
        <v>2.5016858900351986</v>
      </c>
      <c r="K36" s="100">
        <f t="shared" si="2"/>
        <v>2.4987479929264187</v>
      </c>
      <c r="L36" s="101">
        <f t="shared" si="7"/>
        <v>0.05916146654784279</v>
      </c>
      <c r="M36" s="101">
        <f t="shared" si="3"/>
        <v>0.0590919892796476</v>
      </c>
      <c r="N36" s="102">
        <f t="shared" si="8"/>
        <v>291.78435301396064</v>
      </c>
      <c r="O36" s="102">
        <f t="shared" si="9"/>
        <v>291.441691127222</v>
      </c>
      <c r="P36" s="210"/>
      <c r="Q36" s="92"/>
    </row>
    <row r="37" spans="1:17" ht="15">
      <c r="A37" s="84">
        <v>49079</v>
      </c>
      <c r="B37" s="155">
        <f t="shared" si="4"/>
        <v>181</v>
      </c>
      <c r="C37" s="155">
        <f t="shared" si="0"/>
        <v>5113</v>
      </c>
      <c r="D37" s="136">
        <f t="shared" si="10"/>
        <v>71.42857142857144</v>
      </c>
      <c r="E37" s="152"/>
      <c r="F37" s="139">
        <v>0.04875</v>
      </c>
      <c r="G37" s="137">
        <f t="shared" si="11"/>
        <v>1.741071428571429</v>
      </c>
      <c r="H37" s="158">
        <f t="shared" si="5"/>
        <v>1.741071428571429</v>
      </c>
      <c r="I37" s="99">
        <f t="shared" si="6"/>
        <v>8902.098214285717</v>
      </c>
      <c r="J37" s="100">
        <f t="shared" si="1"/>
        <v>0.4584785231221925</v>
      </c>
      <c r="K37" s="100">
        <f t="shared" si="2"/>
        <v>0.4581195048274613</v>
      </c>
      <c r="L37" s="101">
        <f t="shared" si="7"/>
        <v>0.010842393090451624</v>
      </c>
      <c r="M37" s="101">
        <f t="shared" si="3"/>
        <v>0.010833902796398957</v>
      </c>
      <c r="N37" s="102">
        <f t="shared" si="8"/>
        <v>55.437155871479156</v>
      </c>
      <c r="O37" s="102">
        <f t="shared" si="9"/>
        <v>55.393744997987866</v>
      </c>
      <c r="P37" s="210"/>
      <c r="Q37" s="92"/>
    </row>
    <row r="38" spans="1:17" ht="15">
      <c r="A38" s="84">
        <v>49263</v>
      </c>
      <c r="B38" s="155">
        <f t="shared" si="4"/>
        <v>184</v>
      </c>
      <c r="C38" s="155">
        <f t="shared" si="0"/>
        <v>5297</v>
      </c>
      <c r="D38" s="136">
        <f t="shared" si="10"/>
        <v>64.2857142857143</v>
      </c>
      <c r="E38" s="152">
        <v>7.142857142857143</v>
      </c>
      <c r="F38" s="139">
        <v>0.04875</v>
      </c>
      <c r="G38" s="137">
        <f t="shared" si="11"/>
        <v>1.741071428571429</v>
      </c>
      <c r="H38" s="158">
        <f t="shared" si="5"/>
        <v>8.883928571428573</v>
      </c>
      <c r="I38" s="99">
        <f t="shared" si="6"/>
        <v>47058.16964285715</v>
      </c>
      <c r="J38" s="100">
        <f t="shared" si="1"/>
        <v>2.2305456880550403</v>
      </c>
      <c r="K38" s="100">
        <f t="shared" si="2"/>
        <v>2.227926209025303</v>
      </c>
      <c r="L38" s="101">
        <f t="shared" si="7"/>
        <v>0.052749369788165745</v>
      </c>
      <c r="M38" s="101">
        <f t="shared" si="3"/>
        <v>0.052687422674178384</v>
      </c>
      <c r="N38" s="102">
        <f t="shared" si="8"/>
        <v>279.41341176791394</v>
      </c>
      <c r="O38" s="102">
        <f t="shared" si="9"/>
        <v>279.0852779051229</v>
      </c>
      <c r="P38" s="210"/>
      <c r="Q38" s="92"/>
    </row>
    <row r="39" spans="1:17" ht="15">
      <c r="A39" s="84">
        <v>49444</v>
      </c>
      <c r="B39" s="155">
        <f t="shared" si="4"/>
        <v>181</v>
      </c>
      <c r="C39" s="155">
        <f t="shared" si="0"/>
        <v>5478</v>
      </c>
      <c r="D39" s="136">
        <f t="shared" si="10"/>
        <v>64.2857142857143</v>
      </c>
      <c r="E39" s="152"/>
      <c r="F39" s="139">
        <v>0.04875</v>
      </c>
      <c r="G39" s="137">
        <f t="shared" si="11"/>
        <v>1.5669642857142863</v>
      </c>
      <c r="H39" s="158">
        <f t="shared" si="5"/>
        <v>1.5669642857142863</v>
      </c>
      <c r="I39" s="99">
        <f t="shared" si="6"/>
        <v>8583.83035714286</v>
      </c>
      <c r="J39" s="100">
        <f t="shared" si="1"/>
        <v>0.37511879164543027</v>
      </c>
      <c r="K39" s="100">
        <f t="shared" si="2"/>
        <v>0.37482504940428657</v>
      </c>
      <c r="L39" s="101">
        <f t="shared" si="7"/>
        <v>0.008871048892187693</v>
      </c>
      <c r="M39" s="101">
        <f t="shared" si="3"/>
        <v>0.008864102287962784</v>
      </c>
      <c r="N39" s="102">
        <f t="shared" si="8"/>
        <v>48.595605831404185</v>
      </c>
      <c r="O39" s="102">
        <f t="shared" si="9"/>
        <v>48.55755233346013</v>
      </c>
      <c r="P39" s="210"/>
      <c r="Q39" s="92"/>
    </row>
    <row r="40" spans="1:17" ht="15">
      <c r="A40" s="84">
        <v>49628</v>
      </c>
      <c r="B40" s="155">
        <f t="shared" si="4"/>
        <v>184</v>
      </c>
      <c r="C40" s="155">
        <f t="shared" si="0"/>
        <v>5662</v>
      </c>
      <c r="D40" s="136">
        <f t="shared" si="10"/>
        <v>57.14285714285716</v>
      </c>
      <c r="E40" s="152">
        <v>7.142857142857143</v>
      </c>
      <c r="F40" s="139">
        <v>0.04875</v>
      </c>
      <c r="G40" s="137">
        <f t="shared" si="11"/>
        <v>1.5669642857142863</v>
      </c>
      <c r="H40" s="158">
        <f t="shared" si="5"/>
        <v>8.709821428571429</v>
      </c>
      <c r="I40" s="99">
        <f t="shared" si="6"/>
        <v>49315.00892857143</v>
      </c>
      <c r="J40" s="100">
        <f t="shared" si="1"/>
        <v>1.988028614616438</v>
      </c>
      <c r="K40" s="100">
        <f t="shared" si="2"/>
        <v>1.9856939396109479</v>
      </c>
      <c r="L40" s="101">
        <f t="shared" si="7"/>
        <v>0.04701417106291062</v>
      </c>
      <c r="M40" s="101">
        <f t="shared" si="3"/>
        <v>0.04695895917648332</v>
      </c>
      <c r="N40" s="102">
        <f t="shared" si="8"/>
        <v>266.1942365581999</v>
      </c>
      <c r="O40" s="102">
        <f t="shared" si="9"/>
        <v>265.8816268572486</v>
      </c>
      <c r="P40" s="210"/>
      <c r="Q40" s="92"/>
    </row>
    <row r="41" spans="1:17" ht="15">
      <c r="A41" s="84">
        <v>49810</v>
      </c>
      <c r="B41" s="155">
        <f t="shared" si="4"/>
        <v>182</v>
      </c>
      <c r="C41" s="155">
        <f t="shared" si="0"/>
        <v>5844</v>
      </c>
      <c r="D41" s="136">
        <f t="shared" si="10"/>
        <v>57.14285714285716</v>
      </c>
      <c r="E41" s="152"/>
      <c r="F41" s="139">
        <v>0.04875</v>
      </c>
      <c r="G41" s="137">
        <f t="shared" si="11"/>
        <v>1.3928571428571432</v>
      </c>
      <c r="H41" s="158">
        <f t="shared" si="5"/>
        <v>1.3928571428571432</v>
      </c>
      <c r="I41" s="99">
        <f t="shared" si="6"/>
        <v>8139.857142857145</v>
      </c>
      <c r="J41" s="100">
        <f t="shared" si="1"/>
        <v>0.30312629627913557</v>
      </c>
      <c r="K41" s="100">
        <f t="shared" si="2"/>
        <v>0.30280984763488394</v>
      </c>
      <c r="L41" s="101">
        <f t="shared" si="7"/>
        <v>0.007168524357323388</v>
      </c>
      <c r="M41" s="101">
        <f t="shared" si="3"/>
        <v>0.007161040777568002</v>
      </c>
      <c r="N41" s="102">
        <f t="shared" si="8"/>
        <v>41.89285634419788</v>
      </c>
      <c r="O41" s="102">
        <f t="shared" si="9"/>
        <v>41.849122304107404</v>
      </c>
      <c r="P41" s="210"/>
      <c r="Q41" s="92"/>
    </row>
    <row r="42" spans="1:17" ht="15">
      <c r="A42" s="84">
        <v>49994</v>
      </c>
      <c r="B42" s="155">
        <f t="shared" si="4"/>
        <v>184</v>
      </c>
      <c r="C42" s="155">
        <f t="shared" si="0"/>
        <v>6028</v>
      </c>
      <c r="D42" s="136">
        <f t="shared" si="10"/>
        <v>50.000000000000014</v>
      </c>
      <c r="E42" s="152">
        <v>7.142857142857143</v>
      </c>
      <c r="F42" s="139">
        <v>0.04875</v>
      </c>
      <c r="G42" s="137">
        <f t="shared" si="11"/>
        <v>1.3928571428571432</v>
      </c>
      <c r="H42" s="158">
        <f t="shared" si="5"/>
        <v>8.535714285714286</v>
      </c>
      <c r="I42" s="99">
        <f t="shared" si="6"/>
        <v>51453.28571428572</v>
      </c>
      <c r="J42" s="100">
        <f t="shared" si="1"/>
        <v>1.7711712926455572</v>
      </c>
      <c r="K42" s="100">
        <f t="shared" si="2"/>
        <v>1.7686293962048094</v>
      </c>
      <c r="L42" s="101">
        <f t="shared" si="7"/>
        <v>0.04188579053738648</v>
      </c>
      <c r="M42" s="101">
        <f t="shared" si="3"/>
        <v>0.04182567814604015</v>
      </c>
      <c r="N42" s="102">
        <f t="shared" si="8"/>
        <v>252.48754535936573</v>
      </c>
      <c r="O42" s="102">
        <f t="shared" si="9"/>
        <v>252.12518786433003</v>
      </c>
      <c r="P42" s="210"/>
      <c r="Q42" s="92"/>
    </row>
    <row r="43" spans="1:17" ht="15">
      <c r="A43" s="84">
        <v>50175</v>
      </c>
      <c r="B43" s="155">
        <f t="shared" si="4"/>
        <v>181</v>
      </c>
      <c r="C43" s="155">
        <f t="shared" si="0"/>
        <v>6209</v>
      </c>
      <c r="D43" s="136">
        <f t="shared" si="10"/>
        <v>50.000000000000014</v>
      </c>
      <c r="E43" s="152"/>
      <c r="F43" s="139">
        <v>0.04875</v>
      </c>
      <c r="G43" s="137">
        <f t="shared" si="11"/>
        <v>1.2187500000000004</v>
      </c>
      <c r="H43" s="158">
        <f t="shared" si="5"/>
        <v>1.2187500000000004</v>
      </c>
      <c r="I43" s="99">
        <f t="shared" si="6"/>
        <v>7567.218750000003</v>
      </c>
      <c r="J43" s="100">
        <f t="shared" si="1"/>
        <v>0.24112319022203965</v>
      </c>
      <c r="K43" s="100">
        <f t="shared" si="2"/>
        <v>0.24087146970956672</v>
      </c>
      <c r="L43" s="101">
        <f t="shared" si="7"/>
        <v>0.0057022352842345135</v>
      </c>
      <c r="M43" s="101">
        <f t="shared" si="3"/>
        <v>0.005696282436701818</v>
      </c>
      <c r="N43" s="102">
        <f t="shared" si="8"/>
        <v>35.40517887981209</v>
      </c>
      <c r="O43" s="102">
        <f t="shared" si="9"/>
        <v>35.36821764948159</v>
      </c>
      <c r="P43" s="210"/>
      <c r="Q43" s="92"/>
    </row>
    <row r="44" spans="1:17" ht="15">
      <c r="A44" s="84">
        <v>50359</v>
      </c>
      <c r="B44" s="155">
        <f t="shared" si="4"/>
        <v>184</v>
      </c>
      <c r="C44" s="155">
        <f t="shared" si="0"/>
        <v>6393</v>
      </c>
      <c r="D44" s="136">
        <f t="shared" si="10"/>
        <v>42.85714285714287</v>
      </c>
      <c r="E44" s="152">
        <v>7.142857142857143</v>
      </c>
      <c r="F44" s="139">
        <v>0.04875</v>
      </c>
      <c r="G44" s="137">
        <f t="shared" si="11"/>
        <v>1.2187500000000004</v>
      </c>
      <c r="H44" s="158">
        <f t="shared" si="5"/>
        <v>8.361607142857144</v>
      </c>
      <c r="I44" s="99">
        <f t="shared" si="6"/>
        <v>53455.754464285725</v>
      </c>
      <c r="J44" s="100">
        <f t="shared" si="1"/>
        <v>1.5773125861188322</v>
      </c>
      <c r="K44" s="100">
        <f t="shared" si="2"/>
        <v>1.5750489059963901</v>
      </c>
      <c r="L44" s="101">
        <f t="shared" si="7"/>
        <v>0.03730129596639638</v>
      </c>
      <c r="M44" s="101">
        <f t="shared" si="3"/>
        <v>0.037247763012330355</v>
      </c>
      <c r="N44" s="102">
        <f t="shared" si="8"/>
        <v>238.46718511317204</v>
      </c>
      <c r="O44" s="102">
        <f t="shared" si="9"/>
        <v>238.12494893782795</v>
      </c>
      <c r="P44" s="210"/>
      <c r="Q44" s="92"/>
    </row>
    <row r="45" spans="1:17" ht="15">
      <c r="A45" s="84">
        <v>50540</v>
      </c>
      <c r="B45" s="155">
        <f t="shared" si="4"/>
        <v>181</v>
      </c>
      <c r="C45" s="155">
        <f t="shared" si="0"/>
        <v>6574</v>
      </c>
      <c r="D45" s="136">
        <f t="shared" si="10"/>
        <v>42.85714285714287</v>
      </c>
      <c r="E45" s="152"/>
      <c r="F45" s="139">
        <v>0.04875</v>
      </c>
      <c r="G45" s="137">
        <f t="shared" si="11"/>
        <v>1.0446428571428574</v>
      </c>
      <c r="H45" s="158">
        <f t="shared" si="5"/>
        <v>1.0446428571428574</v>
      </c>
      <c r="I45" s="99">
        <f t="shared" si="6"/>
        <v>6867.482142857145</v>
      </c>
      <c r="J45" s="100">
        <f t="shared" si="1"/>
        <v>0.18788820017301788</v>
      </c>
      <c r="K45" s="100">
        <f t="shared" si="2"/>
        <v>0.18769205431914288</v>
      </c>
      <c r="L45" s="101">
        <f t="shared" si="7"/>
        <v>0.004443300221481438</v>
      </c>
      <c r="M45" s="101">
        <f t="shared" si="3"/>
        <v>0.004438661638988429</v>
      </c>
      <c r="N45" s="102">
        <f t="shared" si="8"/>
        <v>29.210255656018973</v>
      </c>
      <c r="O45" s="102">
        <f t="shared" si="9"/>
        <v>29.179761614709932</v>
      </c>
      <c r="P45" s="210"/>
      <c r="Q45" s="92"/>
    </row>
    <row r="46" spans="1:17" ht="15">
      <c r="A46" s="84">
        <v>50724</v>
      </c>
      <c r="B46" s="155">
        <f t="shared" si="4"/>
        <v>184</v>
      </c>
      <c r="C46" s="155">
        <f t="shared" si="0"/>
        <v>6758</v>
      </c>
      <c r="D46" s="136">
        <f t="shared" si="10"/>
        <v>35.71428571428572</v>
      </c>
      <c r="E46" s="152">
        <v>7.142857142857143</v>
      </c>
      <c r="F46" s="139">
        <v>0.04875</v>
      </c>
      <c r="G46" s="137">
        <f t="shared" si="11"/>
        <v>1.0446428571428574</v>
      </c>
      <c r="H46" s="158">
        <f t="shared" si="5"/>
        <v>8.1875</v>
      </c>
      <c r="I46" s="99">
        <f t="shared" si="6"/>
        <v>55331.125</v>
      </c>
      <c r="J46" s="100">
        <f t="shared" si="1"/>
        <v>1.4040631378643584</v>
      </c>
      <c r="K46" s="100">
        <f t="shared" si="2"/>
        <v>1.4020480966836766</v>
      </c>
      <c r="L46" s="101">
        <f t="shared" si="7"/>
        <v>0.0332041823046988</v>
      </c>
      <c r="M46" s="101">
        <f t="shared" si="3"/>
        <v>0.033156529323212086</v>
      </c>
      <c r="N46" s="102">
        <f t="shared" si="8"/>
        <v>224.3938640151545</v>
      </c>
      <c r="O46" s="102">
        <f t="shared" si="9"/>
        <v>224.07182516626727</v>
      </c>
      <c r="P46" s="210"/>
      <c r="Q46" s="92"/>
    </row>
    <row r="47" spans="1:17" ht="15">
      <c r="A47" s="84">
        <v>50905</v>
      </c>
      <c r="B47" s="155">
        <f t="shared" si="4"/>
        <v>181</v>
      </c>
      <c r="C47" s="155">
        <f t="shared" si="0"/>
        <v>6939</v>
      </c>
      <c r="D47" s="136">
        <f t="shared" si="10"/>
        <v>35.71428571428572</v>
      </c>
      <c r="E47" s="152"/>
      <c r="F47" s="139">
        <v>0.04875</v>
      </c>
      <c r="G47" s="137">
        <f t="shared" si="11"/>
        <v>0.8705357142857145</v>
      </c>
      <c r="H47" s="158">
        <f t="shared" si="5"/>
        <v>0.8705357142857145</v>
      </c>
      <c r="I47" s="99">
        <f t="shared" si="6"/>
        <v>6040.647321428573</v>
      </c>
      <c r="J47" s="100">
        <f t="shared" si="1"/>
        <v>0.14233954558561956</v>
      </c>
      <c r="K47" s="100">
        <f t="shared" si="2"/>
        <v>0.14219095024177486</v>
      </c>
      <c r="L47" s="101">
        <f t="shared" si="7"/>
        <v>0.003366136531425331</v>
      </c>
      <c r="M47" s="101">
        <f t="shared" si="3"/>
        <v>0.003362622453779112</v>
      </c>
      <c r="N47" s="102">
        <f t="shared" si="8"/>
        <v>23.35762139156037</v>
      </c>
      <c r="O47" s="102">
        <f t="shared" si="9"/>
        <v>23.33323720677326</v>
      </c>
      <c r="P47" s="210"/>
      <c r="Q47" s="92"/>
    </row>
    <row r="48" spans="1:17" ht="15">
      <c r="A48" s="84">
        <v>51089</v>
      </c>
      <c r="B48" s="155">
        <f t="shared" si="4"/>
        <v>184</v>
      </c>
      <c r="C48" s="155">
        <f t="shared" si="0"/>
        <v>7123</v>
      </c>
      <c r="D48" s="136">
        <f t="shared" si="10"/>
        <v>28.57142857142858</v>
      </c>
      <c r="E48" s="152">
        <v>7.142857142857143</v>
      </c>
      <c r="F48" s="139">
        <v>0.04875</v>
      </c>
      <c r="G48" s="137">
        <f t="shared" si="11"/>
        <v>0.8705357142857145</v>
      </c>
      <c r="H48" s="158">
        <f t="shared" si="5"/>
        <v>8.013392857142858</v>
      </c>
      <c r="I48" s="99">
        <f t="shared" si="6"/>
        <v>57079.39732142857</v>
      </c>
      <c r="J48" s="100">
        <f t="shared" si="1"/>
        <v>1.2492779480849228</v>
      </c>
      <c r="K48" s="100">
        <f t="shared" si="2"/>
        <v>1.247485046865867</v>
      </c>
      <c r="L48" s="101">
        <f t="shared" si="7"/>
        <v>0.029543723226397513</v>
      </c>
      <c r="M48" s="101">
        <f t="shared" si="3"/>
        <v>0.029501323552674583</v>
      </c>
      <c r="N48" s="102">
        <f t="shared" si="8"/>
        <v>210.43994054162948</v>
      </c>
      <c r="O48" s="102">
        <f t="shared" si="9"/>
        <v>210.13792766570106</v>
      </c>
      <c r="P48" s="210"/>
      <c r="Q48" s="92"/>
    </row>
    <row r="49" spans="1:17" ht="15">
      <c r="A49" s="84">
        <v>51271</v>
      </c>
      <c r="B49" s="155">
        <f t="shared" si="4"/>
        <v>182</v>
      </c>
      <c r="C49" s="155">
        <f t="shared" si="0"/>
        <v>7305</v>
      </c>
      <c r="D49" s="136">
        <f t="shared" si="10"/>
        <v>28.57142857142858</v>
      </c>
      <c r="E49" s="152"/>
      <c r="F49" s="139">
        <v>0.04875</v>
      </c>
      <c r="G49" s="137">
        <f t="shared" si="11"/>
        <v>0.6964285714285716</v>
      </c>
      <c r="H49" s="158">
        <f t="shared" si="5"/>
        <v>0.6964285714285716</v>
      </c>
      <c r="I49" s="99">
        <f aca="true" t="shared" si="12" ref="I49:I56">+H49*C49</f>
        <v>5087.410714285716</v>
      </c>
      <c r="J49" s="100">
        <f t="shared" si="1"/>
        <v>0.10351966951681424</v>
      </c>
      <c r="K49" s="100">
        <f t="shared" si="2"/>
        <v>0.10338460047315859</v>
      </c>
      <c r="L49" s="101">
        <f t="shared" si="7"/>
        <v>0.0024480992955820593</v>
      </c>
      <c r="M49" s="101">
        <f t="shared" si="3"/>
        <v>0.0024449050965262495</v>
      </c>
      <c r="N49" s="102">
        <f t="shared" si="8"/>
        <v>17.883365354226942</v>
      </c>
      <c r="O49" s="102">
        <f aca="true" t="shared" si="13" ref="O49:O56">+M49*C49</f>
        <v>17.860031730124252</v>
      </c>
      <c r="P49" s="210"/>
      <c r="Q49" s="92"/>
    </row>
    <row r="50" spans="1:17" ht="15">
      <c r="A50" s="84">
        <v>51455</v>
      </c>
      <c r="B50" s="155">
        <f t="shared" si="4"/>
        <v>184</v>
      </c>
      <c r="C50" s="155">
        <f t="shared" si="0"/>
        <v>7489</v>
      </c>
      <c r="D50" s="136">
        <f t="shared" si="10"/>
        <v>21.428571428571438</v>
      </c>
      <c r="E50" s="152">
        <v>7.142857142857143</v>
      </c>
      <c r="F50" s="139">
        <v>0.04875</v>
      </c>
      <c r="G50" s="137">
        <f t="shared" si="11"/>
        <v>0.6964285714285716</v>
      </c>
      <c r="H50" s="158">
        <f t="shared" si="5"/>
        <v>7.839285714285715</v>
      </c>
      <c r="I50" s="99">
        <f t="shared" si="12"/>
        <v>58708.410714285725</v>
      </c>
      <c r="J50" s="100">
        <f t="shared" si="1"/>
        <v>1.1110316924979107</v>
      </c>
      <c r="K50" s="100">
        <f t="shared" si="2"/>
        <v>1.109147532775541</v>
      </c>
      <c r="L50" s="101">
        <f t="shared" si="7"/>
        <v>0.02627438743254193</v>
      </c>
      <c r="M50" s="101">
        <f t="shared" si="3"/>
        <v>0.026229829619416875</v>
      </c>
      <c r="N50" s="102">
        <f t="shared" si="8"/>
        <v>196.7688874823065</v>
      </c>
      <c r="O50" s="102">
        <f t="shared" si="13"/>
        <v>196.43519401981297</v>
      </c>
      <c r="P50" s="210"/>
      <c r="Q50" s="92"/>
    </row>
    <row r="51" spans="1:17" ht="15">
      <c r="A51" s="84">
        <v>51636</v>
      </c>
      <c r="B51" s="155">
        <f t="shared" si="4"/>
        <v>181</v>
      </c>
      <c r="C51" s="155">
        <f t="shared" si="0"/>
        <v>7670</v>
      </c>
      <c r="D51" s="136">
        <f t="shared" si="10"/>
        <v>21.428571428571438</v>
      </c>
      <c r="E51" s="152"/>
      <c r="F51" s="139">
        <v>0.04875</v>
      </c>
      <c r="G51" s="137">
        <f t="shared" si="11"/>
        <v>0.5223214285714288</v>
      </c>
      <c r="H51" s="158">
        <f t="shared" si="5"/>
        <v>0.5223214285714288</v>
      </c>
      <c r="I51" s="99">
        <f t="shared" si="12"/>
        <v>4006.205357142859</v>
      </c>
      <c r="J51" s="100">
        <f t="shared" si="1"/>
        <v>0.07058159285237335</v>
      </c>
      <c r="K51" s="100">
        <f t="shared" si="2"/>
        <v>0.07048950032260815</v>
      </c>
      <c r="L51" s="101">
        <f t="shared" si="7"/>
        <v>0.0016691586106241313</v>
      </c>
      <c r="M51" s="101">
        <f t="shared" si="3"/>
        <v>0.0016669807476315341</v>
      </c>
      <c r="N51" s="102">
        <f t="shared" si="8"/>
        <v>12.802446543487088</v>
      </c>
      <c r="O51" s="102">
        <f t="shared" si="13"/>
        <v>12.785742334333866</v>
      </c>
      <c r="P51" s="210"/>
      <c r="Q51" s="92"/>
    </row>
    <row r="52" spans="1:17" ht="15">
      <c r="A52" s="84">
        <v>51820</v>
      </c>
      <c r="B52" s="155">
        <f t="shared" si="4"/>
        <v>184</v>
      </c>
      <c r="C52" s="155">
        <f t="shared" si="0"/>
        <v>7854</v>
      </c>
      <c r="D52" s="136">
        <f t="shared" si="10"/>
        <v>14.285714285714295</v>
      </c>
      <c r="E52" s="152">
        <v>7.142857142857143</v>
      </c>
      <c r="F52" s="139">
        <v>0.04875</v>
      </c>
      <c r="G52" s="137">
        <f t="shared" si="11"/>
        <v>0.5223214285714288</v>
      </c>
      <c r="H52" s="158">
        <f t="shared" si="5"/>
        <v>7.665178571428572</v>
      </c>
      <c r="I52" s="99">
        <f t="shared" si="12"/>
        <v>60202.31250000001</v>
      </c>
      <c r="J52" s="100">
        <f t="shared" si="1"/>
        <v>0.9875965086037028</v>
      </c>
      <c r="K52" s="100">
        <f t="shared" si="2"/>
        <v>0.985921678285154</v>
      </c>
      <c r="L52" s="101">
        <f t="shared" si="7"/>
        <v>0.023355313326607213</v>
      </c>
      <c r="M52" s="101">
        <f t="shared" si="3"/>
        <v>0.023315705868988804</v>
      </c>
      <c r="N52" s="102">
        <f t="shared" si="8"/>
        <v>183.43263086717306</v>
      </c>
      <c r="O52" s="102">
        <f t="shared" si="13"/>
        <v>183.12155389503806</v>
      </c>
      <c r="P52" s="210"/>
      <c r="Q52" s="92"/>
    </row>
    <row r="53" spans="1:17" ht="15">
      <c r="A53" s="84">
        <v>52001</v>
      </c>
      <c r="B53" s="155">
        <f t="shared" si="4"/>
        <v>181</v>
      </c>
      <c r="C53" s="155">
        <f t="shared" si="0"/>
        <v>8035</v>
      </c>
      <c r="D53" s="136">
        <f t="shared" si="10"/>
        <v>14.285714285714295</v>
      </c>
      <c r="E53" s="152"/>
      <c r="F53" s="139">
        <v>0.04875</v>
      </c>
      <c r="G53" s="137">
        <f t="shared" si="11"/>
        <v>0.348214285714286</v>
      </c>
      <c r="H53" s="158">
        <f t="shared" si="5"/>
        <v>0.348214285714286</v>
      </c>
      <c r="I53" s="99">
        <f t="shared" si="12"/>
        <v>2797.9017857142876</v>
      </c>
      <c r="J53" s="100">
        <f t="shared" si="1"/>
        <v>0.04277672294083234</v>
      </c>
      <c r="K53" s="100">
        <f t="shared" si="2"/>
        <v>0.042720909286429194</v>
      </c>
      <c r="L53" s="101">
        <f t="shared" si="7"/>
        <v>0.0010116112791661402</v>
      </c>
      <c r="M53" s="101">
        <f t="shared" si="3"/>
        <v>0.00101029136220093</v>
      </c>
      <c r="N53" s="102">
        <f t="shared" si="8"/>
        <v>8.128296628099937</v>
      </c>
      <c r="O53" s="102">
        <f t="shared" si="13"/>
        <v>8.117691095284473</v>
      </c>
      <c r="P53" s="210"/>
      <c r="Q53" s="92"/>
    </row>
    <row r="54" spans="1:17" ht="15">
      <c r="A54" s="84">
        <v>52185</v>
      </c>
      <c r="B54" s="155">
        <f t="shared" si="4"/>
        <v>184</v>
      </c>
      <c r="C54" s="155">
        <f t="shared" si="0"/>
        <v>8219</v>
      </c>
      <c r="D54" s="136">
        <f t="shared" si="10"/>
        <v>7.142857142857152</v>
      </c>
      <c r="E54" s="152">
        <v>7.142857142857143</v>
      </c>
      <c r="F54" s="139">
        <v>0.04875</v>
      </c>
      <c r="G54" s="137">
        <f t="shared" si="11"/>
        <v>0.348214285714286</v>
      </c>
      <c r="H54" s="158">
        <f t="shared" si="5"/>
        <v>7.491071428571429</v>
      </c>
      <c r="I54" s="99">
        <f t="shared" si="12"/>
        <v>61569.11607142857</v>
      </c>
      <c r="J54" s="100">
        <f t="shared" si="1"/>
        <v>0.8774220053142443</v>
      </c>
      <c r="K54" s="100">
        <f t="shared" si="2"/>
        <v>0.8759340160758662</v>
      </c>
      <c r="L54" s="101">
        <f t="shared" si="7"/>
        <v>0.020749836269416476</v>
      </c>
      <c r="M54" s="101">
        <f t="shared" si="3"/>
        <v>0.020714647349056606</v>
      </c>
      <c r="N54" s="102">
        <f t="shared" si="8"/>
        <v>170.542904298334</v>
      </c>
      <c r="O54" s="102">
        <f t="shared" si="13"/>
        <v>170.25368656189625</v>
      </c>
      <c r="P54" s="210"/>
      <c r="Q54" s="92"/>
    </row>
    <row r="55" spans="1:17" ht="15">
      <c r="A55" s="84">
        <v>52366</v>
      </c>
      <c r="B55" s="155">
        <f t="shared" si="4"/>
        <v>181</v>
      </c>
      <c r="C55" s="155">
        <f t="shared" si="0"/>
        <v>8400</v>
      </c>
      <c r="D55" s="136">
        <f t="shared" si="10"/>
        <v>7.142857142857152</v>
      </c>
      <c r="E55" s="152"/>
      <c r="F55" s="139">
        <v>0.04875</v>
      </c>
      <c r="G55" s="137">
        <f t="shared" si="11"/>
        <v>0.1741071428571431</v>
      </c>
      <c r="H55" s="158">
        <f t="shared" si="5"/>
        <v>0.1741071428571431</v>
      </c>
      <c r="I55" s="99">
        <f t="shared" si="12"/>
        <v>1462.500000000002</v>
      </c>
      <c r="J55" s="100">
        <f t="shared" si="1"/>
        <v>0.01944396497310562</v>
      </c>
      <c r="K55" s="100">
        <f t="shared" si="2"/>
        <v>0.01941859513019509</v>
      </c>
      <c r="L55" s="101">
        <f t="shared" si="7"/>
        <v>0.0004598233087118823</v>
      </c>
      <c r="M55" s="101">
        <f t="shared" si="3"/>
        <v>0.0004592233464549683</v>
      </c>
      <c r="N55" s="102">
        <f t="shared" si="8"/>
        <v>3.8625157931798113</v>
      </c>
      <c r="O55" s="102">
        <f t="shared" si="13"/>
        <v>3.8574761102217336</v>
      </c>
      <c r="P55" s="210"/>
      <c r="Q55" s="92"/>
    </row>
    <row r="56" spans="1:17" ht="15.75" thickBot="1">
      <c r="A56" s="88">
        <v>52550</v>
      </c>
      <c r="B56" s="89">
        <f t="shared" si="4"/>
        <v>184</v>
      </c>
      <c r="C56" s="89">
        <f t="shared" si="0"/>
        <v>8584</v>
      </c>
      <c r="D56" s="90">
        <f t="shared" si="10"/>
        <v>8.881784197001252E-15</v>
      </c>
      <c r="E56" s="193">
        <v>7.142857142857143</v>
      </c>
      <c r="F56" s="189">
        <v>0.04875</v>
      </c>
      <c r="G56" s="142">
        <f t="shared" si="11"/>
        <v>0.1741071428571431</v>
      </c>
      <c r="H56" s="194">
        <f t="shared" si="5"/>
        <v>7.3169642857142865</v>
      </c>
      <c r="I56" s="113">
        <f t="shared" si="12"/>
        <v>62808.821428571435</v>
      </c>
      <c r="J56" s="114">
        <f t="shared" si="1"/>
        <v>0.7791172752790368</v>
      </c>
      <c r="K56" s="114">
        <f t="shared" si="2"/>
        <v>0.7777959975882245</v>
      </c>
      <c r="L56" s="101">
        <f t="shared" si="7"/>
        <v>0.018425063195131434</v>
      </c>
      <c r="M56" s="115">
        <f t="shared" si="3"/>
        <v>0.018393816775979944</v>
      </c>
      <c r="N56" s="102">
        <f t="shared" si="8"/>
        <v>158.16074246700822</v>
      </c>
      <c r="O56" s="116">
        <f t="shared" si="13"/>
        <v>157.89252320501183</v>
      </c>
      <c r="P56" s="211"/>
      <c r="Q56" s="117"/>
    </row>
    <row r="57" spans="8:17" ht="15.75" thickBot="1">
      <c r="H57" s="118">
        <f>SUM(H15:H56)</f>
        <v>158.28749999999997</v>
      </c>
      <c r="I57" s="119">
        <f>SUM(I15:I56)/H57</f>
        <v>5497.138874787063</v>
      </c>
      <c r="J57" s="145">
        <f>SUM(J15:J56)</f>
        <v>42.32773924314108</v>
      </c>
      <c r="K57" s="145">
        <f>SUM(K15:K56)</f>
        <v>42.28573150755368</v>
      </c>
      <c r="L57" s="121">
        <f>SUM(L15:L56)</f>
        <v>1.0009934257748367</v>
      </c>
      <c r="M57" s="121">
        <f>SUM(M15:M56)</f>
        <v>1</v>
      </c>
      <c r="N57" s="122">
        <f>SUM(N15:N56)/360</f>
        <v>12.830899237036762</v>
      </c>
      <c r="O57" s="122">
        <f>SUM(O15:O56)/365</f>
        <v>12.640693758142056</v>
      </c>
      <c r="P57" s="146">
        <f>+N57/(1+D3/2)</f>
        <v>12.219904035273107</v>
      </c>
      <c r="Q57" s="146">
        <f>+O57/(1+D3/2)</f>
        <v>12.03875596013529</v>
      </c>
    </row>
    <row r="58" spans="11:14" ht="15.75" thickBot="1">
      <c r="K58" s="124" t="s">
        <v>151</v>
      </c>
      <c r="L58" s="222"/>
      <c r="M58" s="125">
        <f>+I57/365</f>
        <v>15.060654451471406</v>
      </c>
      <c r="N58" s="208"/>
    </row>
    <row r="59" ht="15.75" thickTop="1"/>
  </sheetData>
  <sheetProtection password="DCE5" sheet="1" objects="1" scenarios="1" selectLockedCells="1"/>
  <mergeCells count="8">
    <mergeCell ref="S8:T9"/>
    <mergeCell ref="A1:H1"/>
    <mergeCell ref="F9:G9"/>
    <mergeCell ref="F3:G3"/>
    <mergeCell ref="F4:G4"/>
    <mergeCell ref="F5:G5"/>
    <mergeCell ref="F6:G6"/>
    <mergeCell ref="F7:G7"/>
  </mergeCells>
  <dataValidations count="1">
    <dataValidation type="list" allowBlank="1" showInputMessage="1" showErrorMessage="1" sqref="H3">
      <formula1>$AA$2:$AA$7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Z66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15.57421875" style="38" customWidth="1"/>
    <col min="2" max="2" width="10.7109375" style="38" hidden="1" customWidth="1"/>
    <col min="3" max="3" width="10.00390625" style="38" hidden="1" customWidth="1"/>
    <col min="4" max="4" width="11.28125" style="38" bestFit="1" customWidth="1"/>
    <col min="5" max="5" width="12.57421875" style="38" customWidth="1"/>
    <col min="6" max="6" width="13.00390625" style="38" customWidth="1"/>
    <col min="7" max="7" width="9.140625" style="38" customWidth="1"/>
    <col min="8" max="8" width="17.00390625" style="38" customWidth="1"/>
    <col min="9" max="10" width="11.421875" style="38" hidden="1" customWidth="1"/>
    <col min="11" max="12" width="20.57421875" style="38" hidden="1" customWidth="1"/>
    <col min="13" max="14" width="9.57421875" style="38" hidden="1" customWidth="1"/>
    <col min="15" max="17" width="11.421875" style="38" hidden="1" customWidth="1"/>
    <col min="18" max="18" width="9.140625" style="38" customWidth="1"/>
    <col min="19" max="19" width="13.7109375" style="38" customWidth="1"/>
    <col min="20" max="20" width="14.140625" style="38" customWidth="1"/>
    <col min="21" max="25" width="9.140625" style="38" customWidth="1"/>
    <col min="26" max="26" width="0" style="38" hidden="1" customWidth="1"/>
    <col min="27" max="16384" width="9.140625" style="38" customWidth="1"/>
  </cols>
  <sheetData>
    <row r="1" spans="1:8" ht="16.5" thickBot="1">
      <c r="A1" s="249" t="s">
        <v>12</v>
      </c>
      <c r="B1" s="250"/>
      <c r="C1" s="250"/>
      <c r="D1" s="250"/>
      <c r="E1" s="250"/>
      <c r="F1" s="250"/>
      <c r="G1" s="250"/>
      <c r="H1" s="251"/>
    </row>
    <row r="2" ht="15.75" thickBot="1">
      <c r="Z2" s="38" t="s">
        <v>61</v>
      </c>
    </row>
    <row r="3" spans="1:26" ht="15">
      <c r="A3" s="64" t="s">
        <v>176</v>
      </c>
      <c r="B3" s="65"/>
      <c r="C3" s="65"/>
      <c r="D3" s="67">
        <f>+Reestructuracion!R4</f>
        <v>0.1</v>
      </c>
      <c r="F3" s="267" t="s">
        <v>141</v>
      </c>
      <c r="G3" s="268"/>
      <c r="H3" s="226" t="s">
        <v>61</v>
      </c>
      <c r="Z3" s="38" t="s">
        <v>62</v>
      </c>
    </row>
    <row r="4" spans="1:26" ht="15">
      <c r="A4" s="68" t="s">
        <v>194</v>
      </c>
      <c r="B4" s="69"/>
      <c r="C4" s="69"/>
      <c r="D4" s="71">
        <f>IF(Reestructuracion!$D$5="Actual/365",K65,J65)</f>
        <v>41.002203620655116</v>
      </c>
      <c r="F4" s="269" t="s">
        <v>143</v>
      </c>
      <c r="G4" s="270"/>
      <c r="H4" s="214">
        <v>100</v>
      </c>
      <c r="T4" s="154"/>
      <c r="Z4" s="38" t="s">
        <v>63</v>
      </c>
    </row>
    <row r="5" spans="1:26" ht="15">
      <c r="A5" s="72" t="s">
        <v>148</v>
      </c>
      <c r="B5" s="69"/>
      <c r="C5" s="69"/>
      <c r="D5" s="128">
        <f>IF(Reestructuracion!$D$5="Actual/365",O65,N65)</f>
        <v>12.77979991129718</v>
      </c>
      <c r="F5" s="269" t="s">
        <v>142</v>
      </c>
      <c r="G5" s="270"/>
      <c r="H5" s="156">
        <f>VLOOKUP(H3,'Relaciones de canje'!B35:H52,7,FALSE)/100*H4</f>
        <v>95</v>
      </c>
      <c r="Z5" s="38" t="s">
        <v>42</v>
      </c>
    </row>
    <row r="6" spans="1:26" ht="15">
      <c r="A6" s="72" t="s">
        <v>149</v>
      </c>
      <c r="B6" s="69"/>
      <c r="C6" s="69"/>
      <c r="D6" s="129">
        <f>IF(Reestructuracion!$D$5="Actual/365",Q65,P65)</f>
        <v>12.171238010759218</v>
      </c>
      <c r="F6" s="269" t="s">
        <v>157</v>
      </c>
      <c r="G6" s="270"/>
      <c r="H6" s="93">
        <f>VLOOKUP(H3,Reestructuracion!$A$7:$D$23,4,FALSE)</f>
        <v>0</v>
      </c>
      <c r="M6" s="154"/>
      <c r="N6" s="154"/>
      <c r="Z6" s="38" t="s">
        <v>43</v>
      </c>
    </row>
    <row r="7" spans="1:26" ht="15.75" thickBot="1">
      <c r="A7" s="73" t="s">
        <v>191</v>
      </c>
      <c r="B7" s="74"/>
      <c r="C7" s="74"/>
      <c r="D7" s="76">
        <f>+Reestructuracion!D4</f>
        <v>43966</v>
      </c>
      <c r="F7" s="269" t="s">
        <v>197</v>
      </c>
      <c r="G7" s="270"/>
      <c r="H7" s="93">
        <f>+D4</f>
        <v>41.002203620655116</v>
      </c>
      <c r="M7" s="154"/>
      <c r="N7" s="154"/>
      <c r="Z7" s="38" t="s">
        <v>44</v>
      </c>
    </row>
    <row r="8" spans="6:26" ht="15">
      <c r="F8" s="197" t="s">
        <v>195</v>
      </c>
      <c r="G8" s="198"/>
      <c r="H8" s="93">
        <f>+H7*H5/100</f>
        <v>38.95209343962236</v>
      </c>
      <c r="M8" s="154"/>
      <c r="N8" s="154"/>
      <c r="S8" s="258" t="s">
        <v>198</v>
      </c>
      <c r="T8" s="259"/>
      <c r="Z8" s="38" t="s">
        <v>76</v>
      </c>
    </row>
    <row r="9" spans="1:26" ht="15.75" thickBot="1">
      <c r="A9" s="110"/>
      <c r="B9" s="62"/>
      <c r="F9" s="265" t="s">
        <v>196</v>
      </c>
      <c r="G9" s="266"/>
      <c r="H9" s="58">
        <f>IF(H6=0,"",+((H7/H4*H5)-H6)/H6)</f>
      </c>
      <c r="M9" s="154"/>
      <c r="N9" s="154"/>
      <c r="S9" s="260"/>
      <c r="T9" s="261"/>
      <c r="Z9" s="38" t="s">
        <v>104</v>
      </c>
    </row>
    <row r="10" spans="1:26" ht="15">
      <c r="A10" s="110"/>
      <c r="B10" s="62"/>
      <c r="F10" s="127"/>
      <c r="G10" s="127"/>
      <c r="M10" s="154"/>
      <c r="N10" s="154"/>
      <c r="Z10" s="38" t="s">
        <v>124</v>
      </c>
    </row>
    <row r="11" spans="1:26" ht="15">
      <c r="A11" s="150" t="s">
        <v>15</v>
      </c>
      <c r="B11" s="62"/>
      <c r="F11" s="127"/>
      <c r="G11" s="127"/>
      <c r="M11" s="154"/>
      <c r="N11" s="154"/>
      <c r="Z11" s="38" t="s">
        <v>81</v>
      </c>
    </row>
    <row r="12" ht="15.75" thickBot="1">
      <c r="Z12" s="38" t="s">
        <v>108</v>
      </c>
    </row>
    <row r="13" spans="1:26" ht="30.75" thickBot="1">
      <c r="A13" s="215" t="s">
        <v>16</v>
      </c>
      <c r="B13" s="215" t="s">
        <v>21</v>
      </c>
      <c r="C13" s="215"/>
      <c r="D13" s="215" t="s">
        <v>6</v>
      </c>
      <c r="E13" s="215" t="s">
        <v>17</v>
      </c>
      <c r="F13" s="215" t="s">
        <v>19</v>
      </c>
      <c r="G13" s="215" t="s">
        <v>18</v>
      </c>
      <c r="H13" s="215" t="s">
        <v>20</v>
      </c>
      <c r="I13" s="225" t="s">
        <v>152</v>
      </c>
      <c r="J13" s="215" t="s">
        <v>192</v>
      </c>
      <c r="K13" s="215" t="s">
        <v>146</v>
      </c>
      <c r="L13" s="215" t="s">
        <v>207</v>
      </c>
      <c r="M13" s="215" t="s">
        <v>147</v>
      </c>
      <c r="N13" s="215" t="s">
        <v>217</v>
      </c>
      <c r="O13" s="215" t="s">
        <v>148</v>
      </c>
      <c r="P13" s="215" t="s">
        <v>219</v>
      </c>
      <c r="Q13" s="215" t="s">
        <v>149</v>
      </c>
      <c r="Z13" s="38" t="s">
        <v>126</v>
      </c>
    </row>
    <row r="14" spans="1:26" ht="15">
      <c r="A14" s="132">
        <v>44880</v>
      </c>
      <c r="B14" s="65"/>
      <c r="C14" s="65"/>
      <c r="D14" s="65"/>
      <c r="E14" s="65"/>
      <c r="F14" s="65"/>
      <c r="G14" s="65"/>
      <c r="H14" s="157"/>
      <c r="I14" s="135"/>
      <c r="J14" s="65"/>
      <c r="K14" s="65"/>
      <c r="L14" s="65"/>
      <c r="M14" s="65"/>
      <c r="N14" s="65"/>
      <c r="O14" s="65"/>
      <c r="P14" s="223"/>
      <c r="Q14" s="134"/>
      <c r="Z14" s="38" t="s">
        <v>92</v>
      </c>
    </row>
    <row r="15" spans="1:26" ht="15">
      <c r="A15" s="84">
        <v>45061</v>
      </c>
      <c r="B15" s="155">
        <f>+A15-A14</f>
        <v>181</v>
      </c>
      <c r="C15" s="155">
        <f aca="true" t="shared" si="0" ref="C15:C46">+A15-$D$7</f>
        <v>1095</v>
      </c>
      <c r="D15" s="69">
        <v>100</v>
      </c>
      <c r="E15" s="136"/>
      <c r="F15" s="70">
        <v>0.005</v>
      </c>
      <c r="G15" s="137">
        <f>+D15*F15/2</f>
        <v>0.25</v>
      </c>
      <c r="H15" s="158">
        <f>+G15+E15</f>
        <v>0.25</v>
      </c>
      <c r="I15" s="99">
        <f>+H15*C15</f>
        <v>273.75</v>
      </c>
      <c r="J15" s="100">
        <f aca="true" t="shared" si="1" ref="J15:J46">H15/((1+$D$3)^(DAYS360($D$7,A15)/360))</f>
        <v>0.18782870022539438</v>
      </c>
      <c r="K15" s="100">
        <f aca="true" t="shared" si="2" ref="K15:K46">H15/((1+$D$3)^(C15/365))</f>
        <v>0.18782870022539438</v>
      </c>
      <c r="L15" s="101">
        <f aca="true" t="shared" si="3" ref="L15:M46">+J15/$D$4</f>
        <v>0.0045809415992162554</v>
      </c>
      <c r="M15" s="101">
        <f t="shared" si="3"/>
        <v>0.0045809415992162554</v>
      </c>
      <c r="N15" s="102">
        <f>+L15*C15</f>
        <v>5.0161310511418</v>
      </c>
      <c r="O15" s="102">
        <f>+M15*C15</f>
        <v>5.0161310511418</v>
      </c>
      <c r="P15" s="210"/>
      <c r="Q15" s="92"/>
      <c r="Z15" s="38" t="s">
        <v>97</v>
      </c>
    </row>
    <row r="16" spans="1:26" ht="15">
      <c r="A16" s="84">
        <v>45245</v>
      </c>
      <c r="B16" s="155">
        <f aca="true" t="shared" si="4" ref="B16:B64">+A16-A15</f>
        <v>184</v>
      </c>
      <c r="C16" s="155">
        <f t="shared" si="0"/>
        <v>1279</v>
      </c>
      <c r="D16" s="69">
        <f>+D15-E16</f>
        <v>100</v>
      </c>
      <c r="E16" s="136"/>
      <c r="F16" s="70">
        <v>0.005</v>
      </c>
      <c r="G16" s="137">
        <f>+D15*F16/2</f>
        <v>0.25</v>
      </c>
      <c r="H16" s="158">
        <f aca="true" t="shared" si="5" ref="H16:H64">+G16+E16</f>
        <v>0.25</v>
      </c>
      <c r="I16" s="99">
        <f aca="true" t="shared" si="6" ref="I16:I56">+H16*C16</f>
        <v>319.75</v>
      </c>
      <c r="J16" s="100">
        <f t="shared" si="1"/>
        <v>0.17908763885153872</v>
      </c>
      <c r="K16" s="100">
        <f t="shared" si="2"/>
        <v>0.17901750652545984</v>
      </c>
      <c r="L16" s="101">
        <f t="shared" si="3"/>
        <v>0.004367756438371576</v>
      </c>
      <c r="M16" s="101">
        <f t="shared" si="3"/>
        <v>0.004366045985764498</v>
      </c>
      <c r="N16" s="102">
        <f aca="true" t="shared" si="7" ref="N16:N64">+L16*C16</f>
        <v>5.586360484677245</v>
      </c>
      <c r="O16" s="102">
        <f aca="true" t="shared" si="8" ref="O16:O56">+M16*C16</f>
        <v>5.584172815792792</v>
      </c>
      <c r="P16" s="210"/>
      <c r="Q16" s="92"/>
      <c r="Z16" s="38" t="s">
        <v>87</v>
      </c>
    </row>
    <row r="17" spans="1:26" ht="15">
      <c r="A17" s="84">
        <v>45427</v>
      </c>
      <c r="B17" s="155">
        <f t="shared" si="4"/>
        <v>182</v>
      </c>
      <c r="C17" s="155">
        <f t="shared" si="0"/>
        <v>1461</v>
      </c>
      <c r="D17" s="69">
        <f aca="true" t="shared" si="9" ref="D17:D64">+D16-E17</f>
        <v>100</v>
      </c>
      <c r="E17" s="136"/>
      <c r="F17" s="70">
        <v>0.0175</v>
      </c>
      <c r="G17" s="137">
        <f aca="true" t="shared" si="10" ref="G17:G64">+D16*F17/2</f>
        <v>0.8750000000000001</v>
      </c>
      <c r="H17" s="158">
        <f t="shared" si="5"/>
        <v>0.8750000000000001</v>
      </c>
      <c r="I17" s="99">
        <f t="shared" si="6"/>
        <v>1278.3750000000002</v>
      </c>
      <c r="J17" s="100">
        <f t="shared" si="1"/>
        <v>0.5976367734444368</v>
      </c>
      <c r="K17" s="100">
        <f t="shared" si="2"/>
        <v>0.5974807366442633</v>
      </c>
      <c r="L17" s="101">
        <f t="shared" si="3"/>
        <v>0.014575723270233543</v>
      </c>
      <c r="M17" s="101">
        <f t="shared" si="3"/>
        <v>0.014571917699156995</v>
      </c>
      <c r="N17" s="102">
        <f t="shared" si="7"/>
        <v>21.295131697811208</v>
      </c>
      <c r="O17" s="102">
        <f t="shared" si="8"/>
        <v>21.28957175846837</v>
      </c>
      <c r="P17" s="210"/>
      <c r="Q17" s="92"/>
      <c r="Z17" s="38" t="s">
        <v>128</v>
      </c>
    </row>
    <row r="18" spans="1:26" ht="15">
      <c r="A18" s="84">
        <v>45611</v>
      </c>
      <c r="B18" s="155">
        <f t="shared" si="4"/>
        <v>184</v>
      </c>
      <c r="C18" s="155">
        <f t="shared" si="0"/>
        <v>1645</v>
      </c>
      <c r="D18" s="69">
        <f t="shared" si="9"/>
        <v>100</v>
      </c>
      <c r="E18" s="136"/>
      <c r="F18" s="70">
        <v>0.0175</v>
      </c>
      <c r="G18" s="137">
        <f t="shared" si="10"/>
        <v>0.8750000000000001</v>
      </c>
      <c r="H18" s="158">
        <f t="shared" si="5"/>
        <v>0.8750000000000001</v>
      </c>
      <c r="I18" s="99">
        <f t="shared" si="6"/>
        <v>1439.3750000000002</v>
      </c>
      <c r="J18" s="100">
        <f t="shared" si="1"/>
        <v>0.569824305436714</v>
      </c>
      <c r="K18" s="100">
        <f t="shared" si="2"/>
        <v>0.5694524401366755</v>
      </c>
      <c r="L18" s="101">
        <f t="shared" si="3"/>
        <v>0.013897406849364103</v>
      </c>
      <c r="M18" s="101">
        <f t="shared" si="3"/>
        <v>0.013888337451448836</v>
      </c>
      <c r="N18" s="102">
        <f t="shared" si="7"/>
        <v>22.861234267203947</v>
      </c>
      <c r="O18" s="102">
        <f t="shared" si="8"/>
        <v>22.846315107633334</v>
      </c>
      <c r="P18" s="210"/>
      <c r="Q18" s="92"/>
      <c r="Z18" s="38" t="s">
        <v>140</v>
      </c>
    </row>
    <row r="19" spans="1:17" ht="15">
      <c r="A19" s="84">
        <v>45792</v>
      </c>
      <c r="B19" s="155">
        <f t="shared" si="4"/>
        <v>181</v>
      </c>
      <c r="C19" s="155">
        <f t="shared" si="0"/>
        <v>1826</v>
      </c>
      <c r="D19" s="69">
        <f t="shared" si="9"/>
        <v>100</v>
      </c>
      <c r="E19" s="136"/>
      <c r="F19" s="70">
        <v>0.0175</v>
      </c>
      <c r="G19" s="137">
        <f t="shared" si="10"/>
        <v>0.8750000000000001</v>
      </c>
      <c r="H19" s="158">
        <f t="shared" si="5"/>
        <v>0.8750000000000001</v>
      </c>
      <c r="I19" s="99">
        <f t="shared" si="6"/>
        <v>1597.7500000000002</v>
      </c>
      <c r="J19" s="100">
        <f t="shared" si="1"/>
        <v>0.5433061576767607</v>
      </c>
      <c r="K19" s="100">
        <f t="shared" si="2"/>
        <v>0.5431643060402394</v>
      </c>
      <c r="L19" s="101">
        <f t="shared" si="3"/>
        <v>0.013250657518394129</v>
      </c>
      <c r="M19" s="101">
        <f t="shared" si="3"/>
        <v>0.013247197908324541</v>
      </c>
      <c r="N19" s="102">
        <f t="shared" si="7"/>
        <v>24.19570062858768</v>
      </c>
      <c r="O19" s="102">
        <f t="shared" si="8"/>
        <v>24.189383380600614</v>
      </c>
      <c r="P19" s="210"/>
      <c r="Q19" s="92"/>
    </row>
    <row r="20" spans="1:17" ht="15">
      <c r="A20" s="84">
        <v>45976</v>
      </c>
      <c r="B20" s="155">
        <f t="shared" si="4"/>
        <v>184</v>
      </c>
      <c r="C20" s="155">
        <f t="shared" si="0"/>
        <v>2010</v>
      </c>
      <c r="D20" s="69">
        <f t="shared" si="9"/>
        <v>100</v>
      </c>
      <c r="E20" s="136"/>
      <c r="F20" s="70">
        <v>0.0175</v>
      </c>
      <c r="G20" s="137">
        <f t="shared" si="10"/>
        <v>0.8750000000000001</v>
      </c>
      <c r="H20" s="158">
        <f t="shared" si="5"/>
        <v>0.8750000000000001</v>
      </c>
      <c r="I20" s="99">
        <f t="shared" si="6"/>
        <v>1758.7500000000002</v>
      </c>
      <c r="J20" s="100">
        <f t="shared" si="1"/>
        <v>0.5180220958515582</v>
      </c>
      <c r="K20" s="100">
        <f t="shared" si="2"/>
        <v>0.5176840364878867</v>
      </c>
      <c r="L20" s="101">
        <f t="shared" si="3"/>
        <v>0.01263400622669464</v>
      </c>
      <c r="M20" s="101">
        <f t="shared" si="3"/>
        <v>0.01262576131949894</v>
      </c>
      <c r="N20" s="102">
        <f t="shared" si="7"/>
        <v>25.394352515656227</v>
      </c>
      <c r="O20" s="102">
        <f t="shared" si="8"/>
        <v>25.37778025219287</v>
      </c>
      <c r="P20" s="210"/>
      <c r="Q20" s="92"/>
    </row>
    <row r="21" spans="1:17" ht="15">
      <c r="A21" s="84">
        <v>46157</v>
      </c>
      <c r="B21" s="155">
        <f t="shared" si="4"/>
        <v>181</v>
      </c>
      <c r="C21" s="155">
        <f t="shared" si="0"/>
        <v>2191</v>
      </c>
      <c r="D21" s="69">
        <f t="shared" si="9"/>
        <v>100</v>
      </c>
      <c r="E21" s="136"/>
      <c r="F21" s="70">
        <v>0.0375</v>
      </c>
      <c r="G21" s="137">
        <f t="shared" si="10"/>
        <v>1.875</v>
      </c>
      <c r="H21" s="158">
        <f t="shared" si="5"/>
        <v>1.875</v>
      </c>
      <c r="I21" s="99">
        <f t="shared" si="6"/>
        <v>4108.125</v>
      </c>
      <c r="J21" s="100">
        <f t="shared" si="1"/>
        <v>1.0583886188508322</v>
      </c>
      <c r="K21" s="100">
        <f t="shared" si="2"/>
        <v>1.0581122844939725</v>
      </c>
      <c r="L21" s="101">
        <f t="shared" si="3"/>
        <v>0.025812969191676867</v>
      </c>
      <c r="M21" s="101">
        <f t="shared" si="3"/>
        <v>0.025806229691541307</v>
      </c>
      <c r="N21" s="102">
        <f t="shared" si="7"/>
        <v>56.556215498964015</v>
      </c>
      <c r="O21" s="102">
        <f t="shared" si="8"/>
        <v>56.541449254167006</v>
      </c>
      <c r="P21" s="210"/>
      <c r="Q21" s="92"/>
    </row>
    <row r="22" spans="1:17" ht="15">
      <c r="A22" s="84">
        <v>46341</v>
      </c>
      <c r="B22" s="155">
        <f t="shared" si="4"/>
        <v>184</v>
      </c>
      <c r="C22" s="155">
        <f t="shared" si="0"/>
        <v>2375</v>
      </c>
      <c r="D22" s="69">
        <f t="shared" si="9"/>
        <v>100</v>
      </c>
      <c r="E22" s="136"/>
      <c r="F22" s="70">
        <v>0.0375</v>
      </c>
      <c r="G22" s="137">
        <f t="shared" si="10"/>
        <v>1.875</v>
      </c>
      <c r="H22" s="158">
        <f t="shared" si="5"/>
        <v>1.875</v>
      </c>
      <c r="I22" s="99">
        <f t="shared" si="6"/>
        <v>4453.125</v>
      </c>
      <c r="J22" s="100">
        <f t="shared" si="1"/>
        <v>1.0091339529575807</v>
      </c>
      <c r="K22" s="100">
        <f t="shared" si="2"/>
        <v>1.0084753957556232</v>
      </c>
      <c r="L22" s="101">
        <f t="shared" si="3"/>
        <v>0.024611700441612927</v>
      </c>
      <c r="M22" s="101">
        <f t="shared" si="3"/>
        <v>0.024595638934088834</v>
      </c>
      <c r="N22" s="102">
        <f t="shared" si="7"/>
        <v>58.4527885488307</v>
      </c>
      <c r="O22" s="102">
        <f t="shared" si="8"/>
        <v>58.41464246846098</v>
      </c>
      <c r="P22" s="210"/>
      <c r="Q22" s="92"/>
    </row>
    <row r="23" spans="1:17" ht="15">
      <c r="A23" s="84">
        <v>46522</v>
      </c>
      <c r="B23" s="155">
        <f t="shared" si="4"/>
        <v>181</v>
      </c>
      <c r="C23" s="155">
        <f t="shared" si="0"/>
        <v>2556</v>
      </c>
      <c r="D23" s="69">
        <f t="shared" si="9"/>
        <v>100</v>
      </c>
      <c r="E23" s="136"/>
      <c r="F23" s="70">
        <v>0.0375</v>
      </c>
      <c r="G23" s="137">
        <f t="shared" si="10"/>
        <v>1.875</v>
      </c>
      <c r="H23" s="158">
        <f t="shared" si="5"/>
        <v>1.875</v>
      </c>
      <c r="I23" s="99">
        <f t="shared" si="6"/>
        <v>4792.5</v>
      </c>
      <c r="J23" s="100">
        <f t="shared" si="1"/>
        <v>0.9621714716825746</v>
      </c>
      <c r="K23" s="100">
        <f t="shared" si="2"/>
        <v>0.961920258630884</v>
      </c>
      <c r="L23" s="101">
        <f t="shared" si="3"/>
        <v>0.023466335628797148</v>
      </c>
      <c r="M23" s="101">
        <f t="shared" si="3"/>
        <v>0.023460208810492093</v>
      </c>
      <c r="N23" s="102">
        <f t="shared" si="7"/>
        <v>59.97995386720551</v>
      </c>
      <c r="O23" s="102">
        <f t="shared" si="8"/>
        <v>59.96429371961779</v>
      </c>
      <c r="P23" s="210"/>
      <c r="Q23" s="92"/>
    </row>
    <row r="24" spans="1:17" ht="15">
      <c r="A24" s="84">
        <v>46706</v>
      </c>
      <c r="B24" s="155">
        <f t="shared" si="4"/>
        <v>184</v>
      </c>
      <c r="C24" s="155">
        <f t="shared" si="0"/>
        <v>2740</v>
      </c>
      <c r="D24" s="69">
        <f t="shared" si="9"/>
        <v>100</v>
      </c>
      <c r="E24" s="136"/>
      <c r="F24" s="70">
        <v>0.0375</v>
      </c>
      <c r="G24" s="137">
        <f t="shared" si="10"/>
        <v>1.875</v>
      </c>
      <c r="H24" s="158">
        <f t="shared" si="5"/>
        <v>1.875</v>
      </c>
      <c r="I24" s="99">
        <f t="shared" si="6"/>
        <v>5137.5</v>
      </c>
      <c r="J24" s="100">
        <f t="shared" si="1"/>
        <v>0.9173945026887097</v>
      </c>
      <c r="K24" s="100">
        <f t="shared" si="2"/>
        <v>0.9167958143232938</v>
      </c>
      <c r="L24" s="101">
        <f t="shared" si="3"/>
        <v>0.022374273128739023</v>
      </c>
      <c r="M24" s="101">
        <f t="shared" si="3"/>
        <v>0.02235967175826258</v>
      </c>
      <c r="N24" s="102">
        <f t="shared" si="7"/>
        <v>61.305508372744924</v>
      </c>
      <c r="O24" s="102">
        <f t="shared" si="8"/>
        <v>61.26550061763947</v>
      </c>
      <c r="P24" s="210"/>
      <c r="Q24" s="92"/>
    </row>
    <row r="25" spans="1:17" ht="15">
      <c r="A25" s="84">
        <v>46888</v>
      </c>
      <c r="B25" s="155">
        <f t="shared" si="4"/>
        <v>182</v>
      </c>
      <c r="C25" s="155">
        <f t="shared" si="0"/>
        <v>2922</v>
      </c>
      <c r="D25" s="69">
        <f t="shared" si="9"/>
        <v>100</v>
      </c>
      <c r="E25" s="136"/>
      <c r="F25" s="70">
        <v>0.0475</v>
      </c>
      <c r="G25" s="137">
        <f t="shared" si="10"/>
        <v>2.375</v>
      </c>
      <c r="H25" s="158">
        <f t="shared" si="5"/>
        <v>2.375</v>
      </c>
      <c r="I25" s="99">
        <f t="shared" si="6"/>
        <v>6939.75</v>
      </c>
      <c r="J25" s="100">
        <f t="shared" si="1"/>
        <v>1.1079550279981163</v>
      </c>
      <c r="K25" s="100">
        <f t="shared" si="2"/>
        <v>1.107376552254442</v>
      </c>
      <c r="L25" s="101">
        <f t="shared" si="3"/>
        <v>0.027021841027099747</v>
      </c>
      <c r="M25" s="101">
        <f t="shared" si="3"/>
        <v>0.027007732620902215</v>
      </c>
      <c r="N25" s="102">
        <f t="shared" si="7"/>
        <v>78.95781948118547</v>
      </c>
      <c r="O25" s="102">
        <f t="shared" si="8"/>
        <v>78.91659471827627</v>
      </c>
      <c r="P25" s="210"/>
      <c r="Q25" s="92"/>
    </row>
    <row r="26" spans="1:17" ht="15">
      <c r="A26" s="84">
        <v>47072</v>
      </c>
      <c r="B26" s="155">
        <f t="shared" si="4"/>
        <v>184</v>
      </c>
      <c r="C26" s="155">
        <f t="shared" si="0"/>
        <v>3106</v>
      </c>
      <c r="D26" s="69">
        <f t="shared" si="9"/>
        <v>95</v>
      </c>
      <c r="E26" s="136">
        <v>5</v>
      </c>
      <c r="F26" s="70">
        <v>0.0475</v>
      </c>
      <c r="G26" s="137">
        <f t="shared" si="10"/>
        <v>2.375</v>
      </c>
      <c r="H26" s="158">
        <f t="shared" si="5"/>
        <v>7.375</v>
      </c>
      <c r="I26" s="99">
        <f t="shared" si="6"/>
        <v>22906.75</v>
      </c>
      <c r="J26" s="100">
        <f t="shared" si="1"/>
        <v>3.280380342947507</v>
      </c>
      <c r="K26" s="100">
        <f t="shared" si="2"/>
        <v>3.2773836639326213</v>
      </c>
      <c r="L26" s="101">
        <f t="shared" si="3"/>
        <v>0.08000497664215771</v>
      </c>
      <c r="M26" s="101">
        <f t="shared" si="3"/>
        <v>0.07993189083821872</v>
      </c>
      <c r="N26" s="102">
        <f t="shared" si="7"/>
        <v>248.49545745054183</v>
      </c>
      <c r="O26" s="102">
        <f t="shared" si="8"/>
        <v>248.26845294350736</v>
      </c>
      <c r="P26" s="210"/>
      <c r="Q26" s="92"/>
    </row>
    <row r="27" spans="1:17" ht="15">
      <c r="A27" s="84">
        <v>47253</v>
      </c>
      <c r="B27" s="155">
        <f t="shared" si="4"/>
        <v>181</v>
      </c>
      <c r="C27" s="155">
        <f t="shared" si="0"/>
        <v>3287</v>
      </c>
      <c r="D27" s="69">
        <f t="shared" si="9"/>
        <v>95</v>
      </c>
      <c r="E27" s="136"/>
      <c r="F27" s="70">
        <v>0.0475</v>
      </c>
      <c r="G27" s="137">
        <f t="shared" si="10"/>
        <v>2.25625</v>
      </c>
      <c r="H27" s="158">
        <f t="shared" si="5"/>
        <v>2.25625</v>
      </c>
      <c r="I27" s="99">
        <f t="shared" si="6"/>
        <v>7416.293750000001</v>
      </c>
      <c r="J27" s="100">
        <f t="shared" si="1"/>
        <v>0.9568702514529186</v>
      </c>
      <c r="K27" s="100">
        <f t="shared" si="2"/>
        <v>0.9563706587651999</v>
      </c>
      <c r="L27" s="101">
        <f t="shared" si="3"/>
        <v>0.023337044523404328</v>
      </c>
      <c r="M27" s="101">
        <f t="shared" si="3"/>
        <v>0.023324859990779184</v>
      </c>
      <c r="N27" s="102">
        <f t="shared" si="7"/>
        <v>76.70886534843002</v>
      </c>
      <c r="O27" s="102">
        <f t="shared" si="8"/>
        <v>76.66881478969118</v>
      </c>
      <c r="P27" s="210"/>
      <c r="Q27" s="92"/>
    </row>
    <row r="28" spans="1:17" ht="15">
      <c r="A28" s="84">
        <v>47437</v>
      </c>
      <c r="B28" s="155">
        <f t="shared" si="4"/>
        <v>184</v>
      </c>
      <c r="C28" s="155">
        <f t="shared" si="0"/>
        <v>3471</v>
      </c>
      <c r="D28" s="69">
        <f t="shared" si="9"/>
        <v>90</v>
      </c>
      <c r="E28" s="136">
        <v>5</v>
      </c>
      <c r="F28" s="70">
        <v>0.0475</v>
      </c>
      <c r="G28" s="137">
        <f t="shared" si="10"/>
        <v>2.25625</v>
      </c>
      <c r="H28" s="158">
        <f t="shared" si="5"/>
        <v>7.25625</v>
      </c>
      <c r="I28" s="99">
        <f t="shared" si="6"/>
        <v>25186.44375</v>
      </c>
      <c r="J28" s="100">
        <f t="shared" si="1"/>
        <v>2.934146054053972</v>
      </c>
      <c r="K28" s="100">
        <f t="shared" si="2"/>
        <v>2.931465665505218</v>
      </c>
      <c r="L28" s="101">
        <f t="shared" si="3"/>
        <v>0.0715606917423306</v>
      </c>
      <c r="M28" s="101">
        <f t="shared" si="3"/>
        <v>0.0714953199254021</v>
      </c>
      <c r="N28" s="102">
        <f t="shared" si="7"/>
        <v>248.3871610376295</v>
      </c>
      <c r="O28" s="102">
        <f t="shared" si="8"/>
        <v>248.1602554610707</v>
      </c>
      <c r="P28" s="210"/>
      <c r="Q28" s="92"/>
    </row>
    <row r="29" spans="1:17" ht="15">
      <c r="A29" s="84">
        <v>47618</v>
      </c>
      <c r="B29" s="155">
        <f t="shared" si="4"/>
        <v>181</v>
      </c>
      <c r="C29" s="155">
        <f t="shared" si="0"/>
        <v>3652</v>
      </c>
      <c r="D29" s="69">
        <f t="shared" si="9"/>
        <v>90</v>
      </c>
      <c r="E29" s="136"/>
      <c r="F29" s="70">
        <v>0.0475</v>
      </c>
      <c r="G29" s="137">
        <f t="shared" si="10"/>
        <v>2.1375</v>
      </c>
      <c r="H29" s="158">
        <f t="shared" si="5"/>
        <v>2.1375</v>
      </c>
      <c r="I29" s="99">
        <f t="shared" si="6"/>
        <v>7806.150000000001</v>
      </c>
      <c r="J29" s="100">
        <f t="shared" si="1"/>
        <v>0.8240987811556236</v>
      </c>
      <c r="K29" s="100">
        <f t="shared" si="2"/>
        <v>0.8236685099413206</v>
      </c>
      <c r="L29" s="101">
        <f t="shared" si="3"/>
        <v>0.020098890020156836</v>
      </c>
      <c r="M29" s="101">
        <f t="shared" si="3"/>
        <v>0.020088396164307434</v>
      </c>
      <c r="N29" s="102">
        <f t="shared" si="7"/>
        <v>73.40114635361276</v>
      </c>
      <c r="O29" s="102">
        <f t="shared" si="8"/>
        <v>73.36282279205075</v>
      </c>
      <c r="P29" s="210"/>
      <c r="Q29" s="92"/>
    </row>
    <row r="30" spans="1:17" ht="15">
      <c r="A30" s="84">
        <v>47802</v>
      </c>
      <c r="B30" s="155">
        <f t="shared" si="4"/>
        <v>184</v>
      </c>
      <c r="C30" s="155">
        <f t="shared" si="0"/>
        <v>3836</v>
      </c>
      <c r="D30" s="69">
        <f t="shared" si="9"/>
        <v>85</v>
      </c>
      <c r="E30" s="136">
        <v>5</v>
      </c>
      <c r="F30" s="70">
        <v>0.0475</v>
      </c>
      <c r="G30" s="137">
        <f t="shared" si="10"/>
        <v>2.1375</v>
      </c>
      <c r="H30" s="158">
        <f t="shared" si="5"/>
        <v>7.1375</v>
      </c>
      <c r="I30" s="99">
        <f t="shared" si="6"/>
        <v>27379.45</v>
      </c>
      <c r="J30" s="100">
        <f t="shared" si="1"/>
        <v>2.6237528727034967</v>
      </c>
      <c r="K30" s="100">
        <f t="shared" si="2"/>
        <v>2.6213560332056685</v>
      </c>
      <c r="L30" s="101">
        <f t="shared" si="3"/>
        <v>0.06399053321567734</v>
      </c>
      <c r="M30" s="101">
        <f t="shared" si="3"/>
        <v>0.06393207685757514</v>
      </c>
      <c r="N30" s="102">
        <f t="shared" si="7"/>
        <v>245.46768541533828</v>
      </c>
      <c r="O30" s="102">
        <f t="shared" si="8"/>
        <v>245.24344682565822</v>
      </c>
      <c r="P30" s="210"/>
      <c r="Q30" s="92"/>
    </row>
    <row r="31" spans="1:17" ht="15">
      <c r="A31" s="84">
        <v>47983</v>
      </c>
      <c r="B31" s="155">
        <f t="shared" si="4"/>
        <v>181</v>
      </c>
      <c r="C31" s="155">
        <f t="shared" si="0"/>
        <v>4017</v>
      </c>
      <c r="D31" s="69">
        <f t="shared" si="9"/>
        <v>85</v>
      </c>
      <c r="E31" s="136"/>
      <c r="F31" s="70">
        <v>0.0475</v>
      </c>
      <c r="G31" s="137">
        <f t="shared" si="10"/>
        <v>2.01875</v>
      </c>
      <c r="H31" s="158">
        <f t="shared" si="5"/>
        <v>2.01875</v>
      </c>
      <c r="I31" s="99">
        <f t="shared" si="6"/>
        <v>8109.318749999999</v>
      </c>
      <c r="J31" s="100">
        <f t="shared" si="1"/>
        <v>0.7075595595780604</v>
      </c>
      <c r="K31" s="100">
        <f t="shared" si="2"/>
        <v>0.7071901347981032</v>
      </c>
      <c r="L31" s="101">
        <f t="shared" si="3"/>
        <v>0.017256622744579096</v>
      </c>
      <c r="M31" s="101">
        <f t="shared" si="3"/>
        <v>0.01724761286834476</v>
      </c>
      <c r="N31" s="102">
        <f t="shared" si="7"/>
        <v>69.31985356497422</v>
      </c>
      <c r="O31" s="102">
        <f t="shared" si="8"/>
        <v>69.2836608921409</v>
      </c>
      <c r="P31" s="210"/>
      <c r="Q31" s="92"/>
    </row>
    <row r="32" spans="1:17" ht="15">
      <c r="A32" s="84">
        <v>48167</v>
      </c>
      <c r="B32" s="155">
        <f t="shared" si="4"/>
        <v>184</v>
      </c>
      <c r="C32" s="155">
        <f t="shared" si="0"/>
        <v>4201</v>
      </c>
      <c r="D32" s="69">
        <f t="shared" si="9"/>
        <v>80</v>
      </c>
      <c r="E32" s="136">
        <v>5</v>
      </c>
      <c r="F32" s="70">
        <v>0.0475</v>
      </c>
      <c r="G32" s="137">
        <f t="shared" si="10"/>
        <v>2.01875</v>
      </c>
      <c r="H32" s="158">
        <f t="shared" si="5"/>
        <v>7.01875</v>
      </c>
      <c r="I32" s="99">
        <f t="shared" si="6"/>
        <v>29485.76875</v>
      </c>
      <c r="J32" s="100">
        <f t="shared" si="1"/>
        <v>2.345545674292331</v>
      </c>
      <c r="K32" s="100">
        <f t="shared" si="2"/>
        <v>2.34340298144401</v>
      </c>
      <c r="L32" s="101">
        <f t="shared" si="3"/>
        <v>0.05720535647285912</v>
      </c>
      <c r="M32" s="101">
        <f t="shared" si="3"/>
        <v>0.057153098480382795</v>
      </c>
      <c r="N32" s="102">
        <f t="shared" si="7"/>
        <v>240.31970254248117</v>
      </c>
      <c r="O32" s="102">
        <f t="shared" si="8"/>
        <v>240.10016671608813</v>
      </c>
      <c r="P32" s="210"/>
      <c r="Q32" s="92"/>
    </row>
    <row r="33" spans="1:17" ht="15">
      <c r="A33" s="84">
        <v>48349</v>
      </c>
      <c r="B33" s="155">
        <f t="shared" si="4"/>
        <v>182</v>
      </c>
      <c r="C33" s="155">
        <f t="shared" si="0"/>
        <v>4383</v>
      </c>
      <c r="D33" s="69">
        <f t="shared" si="9"/>
        <v>80</v>
      </c>
      <c r="E33" s="136"/>
      <c r="F33" s="70">
        <v>0.0475</v>
      </c>
      <c r="G33" s="137">
        <f t="shared" si="10"/>
        <v>1.9</v>
      </c>
      <c r="H33" s="158">
        <f t="shared" si="5"/>
        <v>1.9</v>
      </c>
      <c r="I33" s="99">
        <f t="shared" si="6"/>
        <v>8327.699999999999</v>
      </c>
      <c r="J33" s="100">
        <f t="shared" si="1"/>
        <v>0.6053985536496774</v>
      </c>
      <c r="K33" s="100">
        <f t="shared" si="2"/>
        <v>0.6049244874821198</v>
      </c>
      <c r="L33" s="101">
        <f t="shared" si="3"/>
        <v>0.014765024808196019</v>
      </c>
      <c r="M33" s="101">
        <f t="shared" si="3"/>
        <v>0.0147534628401627</v>
      </c>
      <c r="N33" s="102">
        <f t="shared" si="7"/>
        <v>64.71510373432315</v>
      </c>
      <c r="O33" s="102">
        <f t="shared" si="8"/>
        <v>64.66442762843312</v>
      </c>
      <c r="P33" s="210"/>
      <c r="Q33" s="92"/>
    </row>
    <row r="34" spans="1:17" ht="15">
      <c r="A34" s="84">
        <v>48533</v>
      </c>
      <c r="B34" s="155">
        <f t="shared" si="4"/>
        <v>184</v>
      </c>
      <c r="C34" s="155">
        <f t="shared" si="0"/>
        <v>4567</v>
      </c>
      <c r="D34" s="69">
        <f t="shared" si="9"/>
        <v>75</v>
      </c>
      <c r="E34" s="136">
        <v>5</v>
      </c>
      <c r="F34" s="70">
        <v>0.0475</v>
      </c>
      <c r="G34" s="137">
        <f t="shared" si="10"/>
        <v>1.9</v>
      </c>
      <c r="H34" s="158">
        <f t="shared" si="5"/>
        <v>6.9</v>
      </c>
      <c r="I34" s="99">
        <f t="shared" si="6"/>
        <v>31512.300000000003</v>
      </c>
      <c r="J34" s="100">
        <f t="shared" si="1"/>
        <v>2.0962376948261423</v>
      </c>
      <c r="K34" s="100">
        <f t="shared" si="2"/>
        <v>2.093775942658344</v>
      </c>
      <c r="L34" s="101">
        <f t="shared" si="3"/>
        <v>0.0511250008467874</v>
      </c>
      <c r="M34" s="101">
        <f t="shared" si="3"/>
        <v>0.05106496133792164</v>
      </c>
      <c r="N34" s="102">
        <f t="shared" si="7"/>
        <v>233.48787886727806</v>
      </c>
      <c r="O34" s="102">
        <f t="shared" si="8"/>
        <v>233.21367843028813</v>
      </c>
      <c r="P34" s="210"/>
      <c r="Q34" s="92"/>
    </row>
    <row r="35" spans="1:17" ht="15">
      <c r="A35" s="84">
        <v>48714</v>
      </c>
      <c r="B35" s="155">
        <f t="shared" si="4"/>
        <v>181</v>
      </c>
      <c r="C35" s="155">
        <f t="shared" si="0"/>
        <v>4748</v>
      </c>
      <c r="D35" s="69">
        <f t="shared" si="9"/>
        <v>75</v>
      </c>
      <c r="E35" s="136"/>
      <c r="F35" s="70">
        <v>0.0475</v>
      </c>
      <c r="G35" s="137">
        <f t="shared" si="10"/>
        <v>1.78125</v>
      </c>
      <c r="H35" s="158">
        <f t="shared" si="5"/>
        <v>1.78125</v>
      </c>
      <c r="I35" s="99">
        <f t="shared" si="6"/>
        <v>8457.375</v>
      </c>
      <c r="J35" s="100">
        <f t="shared" si="1"/>
        <v>0.5159646764059751</v>
      </c>
      <c r="K35" s="100">
        <f t="shared" si="2"/>
        <v>0.515560642740443</v>
      </c>
      <c r="L35" s="101">
        <f t="shared" si="3"/>
        <v>0.012583827961530698</v>
      </c>
      <c r="M35" s="101">
        <f t="shared" si="3"/>
        <v>0.0125739740115023</v>
      </c>
      <c r="N35" s="102">
        <f t="shared" si="7"/>
        <v>59.74801516134775</v>
      </c>
      <c r="O35" s="102">
        <f t="shared" si="8"/>
        <v>59.70122860661292</v>
      </c>
      <c r="P35" s="210"/>
      <c r="Q35" s="92"/>
    </row>
    <row r="36" spans="1:17" ht="15">
      <c r="A36" s="84">
        <v>48898</v>
      </c>
      <c r="B36" s="155">
        <f t="shared" si="4"/>
        <v>184</v>
      </c>
      <c r="C36" s="155">
        <f t="shared" si="0"/>
        <v>4932</v>
      </c>
      <c r="D36" s="69">
        <f t="shared" si="9"/>
        <v>70</v>
      </c>
      <c r="E36" s="136">
        <v>5</v>
      </c>
      <c r="F36" s="70">
        <v>0.0475</v>
      </c>
      <c r="G36" s="137">
        <f t="shared" si="10"/>
        <v>1.78125</v>
      </c>
      <c r="H36" s="158">
        <f t="shared" si="5"/>
        <v>6.78125</v>
      </c>
      <c r="I36" s="99">
        <f t="shared" si="6"/>
        <v>33445.125</v>
      </c>
      <c r="J36" s="100">
        <f t="shared" si="1"/>
        <v>1.872873763905109</v>
      </c>
      <c r="K36" s="100">
        <f t="shared" si="2"/>
        <v>1.8706743229449134</v>
      </c>
      <c r="L36" s="101">
        <f t="shared" si="3"/>
        <v>0.04567739288435798</v>
      </c>
      <c r="M36" s="101">
        <f t="shared" si="3"/>
        <v>0.04562375086597906</v>
      </c>
      <c r="N36" s="102">
        <f t="shared" si="7"/>
        <v>225.28090170565355</v>
      </c>
      <c r="O36" s="102">
        <f t="shared" si="8"/>
        <v>225.01633927100872</v>
      </c>
      <c r="P36" s="210"/>
      <c r="Q36" s="92"/>
    </row>
    <row r="37" spans="1:17" ht="15">
      <c r="A37" s="84">
        <v>49079</v>
      </c>
      <c r="B37" s="155">
        <f t="shared" si="4"/>
        <v>181</v>
      </c>
      <c r="C37" s="155">
        <f t="shared" si="0"/>
        <v>5113</v>
      </c>
      <c r="D37" s="69">
        <f t="shared" si="9"/>
        <v>70</v>
      </c>
      <c r="E37" s="136"/>
      <c r="F37" s="70">
        <v>0.0475</v>
      </c>
      <c r="G37" s="137">
        <f t="shared" si="10"/>
        <v>1.6625</v>
      </c>
      <c r="H37" s="158">
        <f t="shared" si="5"/>
        <v>1.6625</v>
      </c>
      <c r="I37" s="99">
        <f t="shared" si="6"/>
        <v>8500.362500000001</v>
      </c>
      <c r="J37" s="100">
        <f t="shared" si="1"/>
        <v>0.4377882102838576</v>
      </c>
      <c r="K37" s="100">
        <f t="shared" si="2"/>
        <v>0.4374453938403758</v>
      </c>
      <c r="L37" s="101">
        <f t="shared" si="3"/>
        <v>0.010677187361298773</v>
      </c>
      <c r="M37" s="101">
        <f t="shared" si="3"/>
        <v>0.01066882643400195</v>
      </c>
      <c r="N37" s="102">
        <f t="shared" si="7"/>
        <v>54.59245897832063</v>
      </c>
      <c r="O37" s="102">
        <f t="shared" si="8"/>
        <v>54.54970955705197</v>
      </c>
      <c r="P37" s="210"/>
      <c r="Q37" s="92"/>
    </row>
    <row r="38" spans="1:17" ht="15">
      <c r="A38" s="84">
        <v>49263</v>
      </c>
      <c r="B38" s="155">
        <f t="shared" si="4"/>
        <v>184</v>
      </c>
      <c r="C38" s="155">
        <f t="shared" si="0"/>
        <v>5297</v>
      </c>
      <c r="D38" s="69">
        <f t="shared" si="9"/>
        <v>65</v>
      </c>
      <c r="E38" s="136">
        <v>5</v>
      </c>
      <c r="F38" s="70">
        <v>0.0475</v>
      </c>
      <c r="G38" s="137">
        <f t="shared" si="10"/>
        <v>1.6625</v>
      </c>
      <c r="H38" s="158">
        <f t="shared" si="5"/>
        <v>6.6625</v>
      </c>
      <c r="I38" s="99">
        <f t="shared" si="6"/>
        <v>35291.2625</v>
      </c>
      <c r="J38" s="100">
        <f t="shared" si="1"/>
        <v>1.672797178318262</v>
      </c>
      <c r="K38" s="100">
        <f t="shared" si="2"/>
        <v>1.670832700678071</v>
      </c>
      <c r="L38" s="101">
        <f t="shared" si="3"/>
        <v>0.04079773842876045</v>
      </c>
      <c r="M38" s="101">
        <f t="shared" si="3"/>
        <v>0.04074982691506801</v>
      </c>
      <c r="N38" s="102">
        <f t="shared" si="7"/>
        <v>216.1056204571441</v>
      </c>
      <c r="O38" s="102">
        <f t="shared" si="8"/>
        <v>215.85183316911525</v>
      </c>
      <c r="P38" s="210"/>
      <c r="Q38" s="92"/>
    </row>
    <row r="39" spans="1:17" ht="15">
      <c r="A39" s="84">
        <v>49444</v>
      </c>
      <c r="B39" s="155">
        <f t="shared" si="4"/>
        <v>181</v>
      </c>
      <c r="C39" s="155">
        <f t="shared" si="0"/>
        <v>5478</v>
      </c>
      <c r="D39" s="69">
        <f t="shared" si="9"/>
        <v>65</v>
      </c>
      <c r="E39" s="136"/>
      <c r="F39" s="70">
        <v>0.0475</v>
      </c>
      <c r="G39" s="137">
        <f t="shared" si="10"/>
        <v>1.54375</v>
      </c>
      <c r="H39" s="158">
        <f t="shared" si="5"/>
        <v>1.54375</v>
      </c>
      <c r="I39" s="99">
        <f t="shared" si="6"/>
        <v>8456.6625</v>
      </c>
      <c r="J39" s="100">
        <f t="shared" si="1"/>
        <v>0.369561476213646</v>
      </c>
      <c r="K39" s="100">
        <f t="shared" si="2"/>
        <v>0.3692720857094081</v>
      </c>
      <c r="L39" s="101">
        <f t="shared" si="3"/>
        <v>0.009013210110187275</v>
      </c>
      <c r="M39" s="101">
        <f t="shared" si="3"/>
        <v>0.009006152184547101</v>
      </c>
      <c r="N39" s="102">
        <f t="shared" si="7"/>
        <v>49.37436498360589</v>
      </c>
      <c r="O39" s="102">
        <f t="shared" si="8"/>
        <v>49.33570166694902</v>
      </c>
      <c r="P39" s="210"/>
      <c r="Q39" s="92"/>
    </row>
    <row r="40" spans="1:17" ht="15">
      <c r="A40" s="84">
        <v>49628</v>
      </c>
      <c r="B40" s="155">
        <f t="shared" si="4"/>
        <v>184</v>
      </c>
      <c r="C40" s="155">
        <f t="shared" si="0"/>
        <v>5662</v>
      </c>
      <c r="D40" s="69">
        <f t="shared" si="9"/>
        <v>60</v>
      </c>
      <c r="E40" s="136">
        <v>5</v>
      </c>
      <c r="F40" s="70">
        <v>0.0475</v>
      </c>
      <c r="G40" s="137">
        <f t="shared" si="10"/>
        <v>1.54375</v>
      </c>
      <c r="H40" s="158">
        <f t="shared" si="5"/>
        <v>6.54375</v>
      </c>
      <c r="I40" s="99">
        <f t="shared" si="6"/>
        <v>37050.7125</v>
      </c>
      <c r="J40" s="100">
        <f t="shared" si="1"/>
        <v>1.4936198581777422</v>
      </c>
      <c r="K40" s="100">
        <f t="shared" si="2"/>
        <v>1.491865800451936</v>
      </c>
      <c r="L40" s="101">
        <f t="shared" si="3"/>
        <v>0.036427794759433904</v>
      </c>
      <c r="M40" s="101">
        <f t="shared" si="3"/>
        <v>0.03638501516295088</v>
      </c>
      <c r="N40" s="102">
        <f t="shared" si="7"/>
        <v>206.25417392791476</v>
      </c>
      <c r="O40" s="102">
        <f t="shared" si="8"/>
        <v>206.0119558526279</v>
      </c>
      <c r="P40" s="210"/>
      <c r="Q40" s="92"/>
    </row>
    <row r="41" spans="1:17" ht="15">
      <c r="A41" s="84">
        <v>49810</v>
      </c>
      <c r="B41" s="155">
        <f t="shared" si="4"/>
        <v>182</v>
      </c>
      <c r="C41" s="155">
        <f t="shared" si="0"/>
        <v>5844</v>
      </c>
      <c r="D41" s="69">
        <f t="shared" si="9"/>
        <v>60</v>
      </c>
      <c r="E41" s="136"/>
      <c r="F41" s="70">
        <v>0.0475</v>
      </c>
      <c r="G41" s="137">
        <f t="shared" si="10"/>
        <v>1.425</v>
      </c>
      <c r="H41" s="158">
        <f t="shared" si="5"/>
        <v>1.425</v>
      </c>
      <c r="I41" s="99">
        <f t="shared" si="6"/>
        <v>8327.7</v>
      </c>
      <c r="J41" s="100">
        <f t="shared" si="1"/>
        <v>0.31012151850096165</v>
      </c>
      <c r="K41" s="100">
        <f t="shared" si="2"/>
        <v>0.30979776719568886</v>
      </c>
      <c r="L41" s="101">
        <f t="shared" si="3"/>
        <v>0.0075635329595977125</v>
      </c>
      <c r="M41" s="101">
        <f t="shared" si="3"/>
        <v>0.007555637010680721</v>
      </c>
      <c r="N41" s="102">
        <f t="shared" si="7"/>
        <v>44.20128661588903</v>
      </c>
      <c r="O41" s="102">
        <f t="shared" si="8"/>
        <v>44.15514269041813</v>
      </c>
      <c r="P41" s="210"/>
      <c r="Q41" s="92"/>
    </row>
    <row r="42" spans="1:17" ht="15">
      <c r="A42" s="84">
        <v>49994</v>
      </c>
      <c r="B42" s="155">
        <f t="shared" si="4"/>
        <v>184</v>
      </c>
      <c r="C42" s="155">
        <f t="shared" si="0"/>
        <v>6028</v>
      </c>
      <c r="D42" s="69">
        <f t="shared" si="9"/>
        <v>55</v>
      </c>
      <c r="E42" s="136">
        <v>5</v>
      </c>
      <c r="F42" s="70">
        <v>0.0475</v>
      </c>
      <c r="G42" s="137">
        <f t="shared" si="10"/>
        <v>1.425</v>
      </c>
      <c r="H42" s="158">
        <f t="shared" si="5"/>
        <v>6.425</v>
      </c>
      <c r="I42" s="99">
        <f t="shared" si="6"/>
        <v>38729.9</v>
      </c>
      <c r="J42" s="100">
        <f t="shared" si="1"/>
        <v>1.3331954625394797</v>
      </c>
      <c r="K42" s="100">
        <f t="shared" si="2"/>
        <v>1.3312821271014443</v>
      </c>
      <c r="L42" s="101">
        <f t="shared" si="3"/>
        <v>0.03251521491073895</v>
      </c>
      <c r="M42" s="101">
        <f t="shared" si="3"/>
        <v>0.03246855070079215</v>
      </c>
      <c r="N42" s="102">
        <f t="shared" si="7"/>
        <v>196.00171548193438</v>
      </c>
      <c r="O42" s="102">
        <f t="shared" si="8"/>
        <v>195.7204236243751</v>
      </c>
      <c r="P42" s="210"/>
      <c r="Q42" s="92"/>
    </row>
    <row r="43" spans="1:17" ht="15">
      <c r="A43" s="84">
        <v>50175</v>
      </c>
      <c r="B43" s="155">
        <f t="shared" si="4"/>
        <v>181</v>
      </c>
      <c r="C43" s="155">
        <f t="shared" si="0"/>
        <v>6209</v>
      </c>
      <c r="D43" s="69">
        <f t="shared" si="9"/>
        <v>55</v>
      </c>
      <c r="E43" s="136"/>
      <c r="F43" s="70">
        <v>0.0475</v>
      </c>
      <c r="G43" s="137">
        <f t="shared" si="10"/>
        <v>1.30625</v>
      </c>
      <c r="H43" s="158">
        <f t="shared" si="5"/>
        <v>1.30625</v>
      </c>
      <c r="I43" s="99">
        <f t="shared" si="6"/>
        <v>8110.506249999999</v>
      </c>
      <c r="J43" s="100">
        <f t="shared" si="1"/>
        <v>0.2584345987508014</v>
      </c>
      <c r="K43" s="100">
        <f t="shared" si="2"/>
        <v>0.2581648059964073</v>
      </c>
      <c r="L43" s="101">
        <f t="shared" si="3"/>
        <v>0.006302944132998094</v>
      </c>
      <c r="M43" s="101">
        <f t="shared" si="3"/>
        <v>0.006296364175567265</v>
      </c>
      <c r="N43" s="102">
        <f t="shared" si="7"/>
        <v>39.13498012178516</v>
      </c>
      <c r="O43" s="102">
        <f t="shared" si="8"/>
        <v>39.09412516609715</v>
      </c>
      <c r="P43" s="210"/>
      <c r="Q43" s="92"/>
    </row>
    <row r="44" spans="1:17" ht="15">
      <c r="A44" s="84">
        <v>50359</v>
      </c>
      <c r="B44" s="155">
        <f t="shared" si="4"/>
        <v>184</v>
      </c>
      <c r="C44" s="155">
        <f t="shared" si="0"/>
        <v>6393</v>
      </c>
      <c r="D44" s="69">
        <f t="shared" si="9"/>
        <v>50</v>
      </c>
      <c r="E44" s="136">
        <v>5</v>
      </c>
      <c r="F44" s="70">
        <v>0.0475</v>
      </c>
      <c r="G44" s="137">
        <f t="shared" si="10"/>
        <v>1.30625</v>
      </c>
      <c r="H44" s="158">
        <f t="shared" si="5"/>
        <v>6.30625</v>
      </c>
      <c r="I44" s="99">
        <f t="shared" si="6"/>
        <v>40315.856250000004</v>
      </c>
      <c r="J44" s="100">
        <f t="shared" si="1"/>
        <v>1.1895951730653829</v>
      </c>
      <c r="K44" s="100">
        <f t="shared" si="2"/>
        <v>1.1878879255795518</v>
      </c>
      <c r="L44" s="101">
        <f t="shared" si="3"/>
        <v>0.029012957061315525</v>
      </c>
      <c r="M44" s="101">
        <f t="shared" si="3"/>
        <v>0.028971319116642448</v>
      </c>
      <c r="N44" s="102">
        <f t="shared" si="7"/>
        <v>185.47983449299014</v>
      </c>
      <c r="O44" s="102">
        <f t="shared" si="8"/>
        <v>185.21364311269517</v>
      </c>
      <c r="P44" s="210"/>
      <c r="Q44" s="92"/>
    </row>
    <row r="45" spans="1:17" ht="15">
      <c r="A45" s="84">
        <v>50540</v>
      </c>
      <c r="B45" s="155">
        <f t="shared" si="4"/>
        <v>181</v>
      </c>
      <c r="C45" s="155">
        <f t="shared" si="0"/>
        <v>6574</v>
      </c>
      <c r="D45" s="69">
        <f t="shared" si="9"/>
        <v>50</v>
      </c>
      <c r="E45" s="136"/>
      <c r="F45" s="70">
        <v>0.0475</v>
      </c>
      <c r="G45" s="137">
        <f t="shared" si="10"/>
        <v>1.1875</v>
      </c>
      <c r="H45" s="158">
        <f t="shared" si="5"/>
        <v>1.1875</v>
      </c>
      <c r="I45" s="99">
        <f t="shared" si="6"/>
        <v>7806.625</v>
      </c>
      <c r="J45" s="100">
        <f t="shared" si="1"/>
        <v>0.21358231301719122</v>
      </c>
      <c r="K45" s="100">
        <f t="shared" si="2"/>
        <v>0.21335934379868374</v>
      </c>
      <c r="L45" s="101">
        <f t="shared" si="3"/>
        <v>0.005209044738014953</v>
      </c>
      <c r="M45" s="101">
        <f t="shared" si="3"/>
        <v>0.005203606756667162</v>
      </c>
      <c r="N45" s="102">
        <f t="shared" si="7"/>
        <v>34.2442601077103</v>
      </c>
      <c r="O45" s="102">
        <f t="shared" si="8"/>
        <v>34.20851081832992</v>
      </c>
      <c r="P45" s="210"/>
      <c r="Q45" s="92"/>
    </row>
    <row r="46" spans="1:17" ht="15">
      <c r="A46" s="84">
        <v>50724</v>
      </c>
      <c r="B46" s="155">
        <f t="shared" si="4"/>
        <v>184</v>
      </c>
      <c r="C46" s="155">
        <f t="shared" si="0"/>
        <v>6758</v>
      </c>
      <c r="D46" s="69">
        <f t="shared" si="9"/>
        <v>45</v>
      </c>
      <c r="E46" s="136">
        <v>5</v>
      </c>
      <c r="F46" s="70">
        <v>0.0475</v>
      </c>
      <c r="G46" s="137">
        <f t="shared" si="10"/>
        <v>1.1875</v>
      </c>
      <c r="H46" s="158">
        <f t="shared" si="5"/>
        <v>6.1875</v>
      </c>
      <c r="I46" s="99">
        <f t="shared" si="6"/>
        <v>41815.125</v>
      </c>
      <c r="J46" s="100">
        <f t="shared" si="1"/>
        <v>1.0610858828135228</v>
      </c>
      <c r="K46" s="100">
        <f t="shared" si="2"/>
        <v>1.0595630654327022</v>
      </c>
      <c r="L46" s="101">
        <f t="shared" si="3"/>
        <v>0.025878752581946454</v>
      </c>
      <c r="M46" s="101">
        <f t="shared" si="3"/>
        <v>0.025841612690761347</v>
      </c>
      <c r="N46" s="102">
        <f t="shared" si="7"/>
        <v>174.88860994879414</v>
      </c>
      <c r="O46" s="102">
        <f t="shared" si="8"/>
        <v>174.6376185641652</v>
      </c>
      <c r="P46" s="210"/>
      <c r="Q46" s="92"/>
    </row>
    <row r="47" spans="1:17" ht="15">
      <c r="A47" s="84">
        <v>50905</v>
      </c>
      <c r="B47" s="155">
        <f t="shared" si="4"/>
        <v>181</v>
      </c>
      <c r="C47" s="155">
        <f aca="true" t="shared" si="11" ref="C47:C64">+A47-$D$7</f>
        <v>6939</v>
      </c>
      <c r="D47" s="69">
        <f t="shared" si="9"/>
        <v>45</v>
      </c>
      <c r="E47" s="136"/>
      <c r="F47" s="70">
        <v>0.0475</v>
      </c>
      <c r="G47" s="137">
        <f t="shared" si="10"/>
        <v>1.06875</v>
      </c>
      <c r="H47" s="158">
        <f t="shared" si="5"/>
        <v>1.06875</v>
      </c>
      <c r="I47" s="99">
        <f t="shared" si="6"/>
        <v>7416.056250000001</v>
      </c>
      <c r="J47" s="100">
        <f aca="true" t="shared" si="12" ref="J47:J64">H47/((1+$D$3)^(DAYS360($D$7,A47)/360))</f>
        <v>0.17474916519588368</v>
      </c>
      <c r="K47" s="100">
        <f aca="true" t="shared" si="13" ref="K47:K64">H47/((1+$D$3)^(C47/365))</f>
        <v>0.17456673583528665</v>
      </c>
      <c r="L47" s="101">
        <f aca="true" t="shared" si="14" ref="L47:L64">+J47/$D$4</f>
        <v>0.004261945694739507</v>
      </c>
      <c r="M47" s="101">
        <f aca="true" t="shared" si="15" ref="M47:M64">+K47/$D$4</f>
        <v>0.004257496437273131</v>
      </c>
      <c r="N47" s="102">
        <f t="shared" si="7"/>
        <v>29.573641175797437</v>
      </c>
      <c r="O47" s="102">
        <f t="shared" si="8"/>
        <v>29.542767778238257</v>
      </c>
      <c r="P47" s="210"/>
      <c r="Q47" s="92"/>
    </row>
    <row r="48" spans="1:17" ht="15">
      <c r="A48" s="84">
        <v>51089</v>
      </c>
      <c r="B48" s="155">
        <f t="shared" si="4"/>
        <v>184</v>
      </c>
      <c r="C48" s="155">
        <f t="shared" si="11"/>
        <v>7123</v>
      </c>
      <c r="D48" s="69">
        <f t="shared" si="9"/>
        <v>40</v>
      </c>
      <c r="E48" s="136">
        <v>5</v>
      </c>
      <c r="F48" s="70">
        <v>0.0475</v>
      </c>
      <c r="G48" s="137">
        <f t="shared" si="10"/>
        <v>1.06875</v>
      </c>
      <c r="H48" s="158">
        <f t="shared" si="5"/>
        <v>6.06875</v>
      </c>
      <c r="I48" s="99">
        <f t="shared" si="6"/>
        <v>43227.706249999996</v>
      </c>
      <c r="J48" s="100">
        <f t="shared" si="12"/>
        <v>0.9461105529953447</v>
      </c>
      <c r="K48" s="100">
        <f t="shared" si="13"/>
        <v>0.9447527424565232</v>
      </c>
      <c r="L48" s="101">
        <f t="shared" si="14"/>
        <v>0.023074626957823693</v>
      </c>
      <c r="M48" s="101">
        <f t="shared" si="15"/>
        <v>0.023041511407464892</v>
      </c>
      <c r="N48" s="102">
        <f t="shared" si="7"/>
        <v>164.36056782057815</v>
      </c>
      <c r="O48" s="102">
        <f t="shared" si="8"/>
        <v>164.12468575537244</v>
      </c>
      <c r="P48" s="210"/>
      <c r="Q48" s="92"/>
    </row>
    <row r="49" spans="1:17" ht="15">
      <c r="A49" s="84">
        <v>51271</v>
      </c>
      <c r="B49" s="155">
        <f t="shared" si="4"/>
        <v>182</v>
      </c>
      <c r="C49" s="155">
        <f t="shared" si="11"/>
        <v>7305</v>
      </c>
      <c r="D49" s="69">
        <f t="shared" si="9"/>
        <v>40</v>
      </c>
      <c r="E49" s="136"/>
      <c r="F49" s="70">
        <v>0.0475</v>
      </c>
      <c r="G49" s="137">
        <f t="shared" si="10"/>
        <v>0.95</v>
      </c>
      <c r="H49" s="158">
        <f t="shared" si="5"/>
        <v>0.95</v>
      </c>
      <c r="I49" s="99">
        <f t="shared" si="6"/>
        <v>6939.75</v>
      </c>
      <c r="J49" s="100">
        <f t="shared" si="12"/>
        <v>0.1412114466229363</v>
      </c>
      <c r="K49" s="100">
        <f t="shared" si="13"/>
        <v>0.14102719859415475</v>
      </c>
      <c r="L49" s="101">
        <f t="shared" si="14"/>
        <v>0.0034439965210016216</v>
      </c>
      <c r="M49" s="101">
        <f t="shared" si="15"/>
        <v>0.0034395029081586096</v>
      </c>
      <c r="N49" s="102">
        <f t="shared" si="7"/>
        <v>25.158394585916845</v>
      </c>
      <c r="O49" s="102">
        <f t="shared" si="8"/>
        <v>25.125568744098643</v>
      </c>
      <c r="P49" s="210"/>
      <c r="Q49" s="92"/>
    </row>
    <row r="50" spans="1:17" ht="15">
      <c r="A50" s="84">
        <v>51455</v>
      </c>
      <c r="B50" s="155">
        <f t="shared" si="4"/>
        <v>184</v>
      </c>
      <c r="C50" s="155">
        <f t="shared" si="11"/>
        <v>7489</v>
      </c>
      <c r="D50" s="69">
        <f t="shared" si="9"/>
        <v>35</v>
      </c>
      <c r="E50" s="136">
        <v>5</v>
      </c>
      <c r="F50" s="70">
        <v>0.0475</v>
      </c>
      <c r="G50" s="137">
        <f t="shared" si="10"/>
        <v>0.95</v>
      </c>
      <c r="H50" s="158">
        <f t="shared" si="5"/>
        <v>5.95</v>
      </c>
      <c r="I50" s="99">
        <f t="shared" si="6"/>
        <v>44559.55</v>
      </c>
      <c r="J50" s="100">
        <f t="shared" si="12"/>
        <v>0.8432705237820132</v>
      </c>
      <c r="K50" s="100">
        <f t="shared" si="13"/>
        <v>0.8418404508446702</v>
      </c>
      <c r="L50" s="101">
        <f t="shared" si="14"/>
        <v>0.02056646836798816</v>
      </c>
      <c r="M50" s="101">
        <f t="shared" si="15"/>
        <v>0.020531590414828042</v>
      </c>
      <c r="N50" s="102">
        <f t="shared" si="7"/>
        <v>154.02228160786333</v>
      </c>
      <c r="O50" s="102">
        <f t="shared" si="8"/>
        <v>153.7610806166472</v>
      </c>
      <c r="P50" s="210"/>
      <c r="Q50" s="92"/>
    </row>
    <row r="51" spans="1:17" ht="15">
      <c r="A51" s="84">
        <v>51636</v>
      </c>
      <c r="B51" s="155">
        <f t="shared" si="4"/>
        <v>181</v>
      </c>
      <c r="C51" s="155">
        <f t="shared" si="11"/>
        <v>7670</v>
      </c>
      <c r="D51" s="69">
        <f t="shared" si="9"/>
        <v>35</v>
      </c>
      <c r="E51" s="136"/>
      <c r="F51" s="70">
        <v>0.0475</v>
      </c>
      <c r="G51" s="137">
        <f t="shared" si="10"/>
        <v>0.83125</v>
      </c>
      <c r="H51" s="158">
        <f t="shared" si="5"/>
        <v>0.83125</v>
      </c>
      <c r="I51" s="99">
        <f t="shared" si="6"/>
        <v>6375.6875</v>
      </c>
      <c r="J51" s="100">
        <f t="shared" si="12"/>
        <v>0.1123272870864266</v>
      </c>
      <c r="K51" s="100">
        <f t="shared" si="13"/>
        <v>0.11218072615444129</v>
      </c>
      <c r="L51" s="101">
        <f t="shared" si="14"/>
        <v>0.0027395426871603804</v>
      </c>
      <c r="M51" s="101">
        <f t="shared" si="15"/>
        <v>0.0027359682223988945</v>
      </c>
      <c r="N51" s="102">
        <f t="shared" si="7"/>
        <v>21.012292410520118</v>
      </c>
      <c r="O51" s="102">
        <f t="shared" si="8"/>
        <v>20.98487626579952</v>
      </c>
      <c r="P51" s="210"/>
      <c r="Q51" s="92"/>
    </row>
    <row r="52" spans="1:17" ht="15">
      <c r="A52" s="84">
        <v>51820</v>
      </c>
      <c r="B52" s="155">
        <f t="shared" si="4"/>
        <v>184</v>
      </c>
      <c r="C52" s="155">
        <f t="shared" si="11"/>
        <v>7854</v>
      </c>
      <c r="D52" s="69">
        <f t="shared" si="9"/>
        <v>30</v>
      </c>
      <c r="E52" s="136">
        <v>5</v>
      </c>
      <c r="F52" s="70">
        <v>0.0475</v>
      </c>
      <c r="G52" s="137">
        <f t="shared" si="10"/>
        <v>0.83125</v>
      </c>
      <c r="H52" s="158">
        <f t="shared" si="5"/>
        <v>5.83125</v>
      </c>
      <c r="I52" s="99">
        <f t="shared" si="6"/>
        <v>45798.6375</v>
      </c>
      <c r="J52" s="100">
        <f t="shared" si="12"/>
        <v>0.7513095862190777</v>
      </c>
      <c r="K52" s="100">
        <f t="shared" si="13"/>
        <v>0.750035466613901</v>
      </c>
      <c r="L52" s="101">
        <f t="shared" si="14"/>
        <v>0.01832363921632253</v>
      </c>
      <c r="M52" s="101">
        <f t="shared" si="15"/>
        <v>0.018292564798543312</v>
      </c>
      <c r="N52" s="102">
        <f t="shared" si="7"/>
        <v>143.91386240499713</v>
      </c>
      <c r="O52" s="102">
        <f t="shared" si="8"/>
        <v>143.66980392775918</v>
      </c>
      <c r="P52" s="210"/>
      <c r="Q52" s="92"/>
    </row>
    <row r="53" spans="1:17" ht="15">
      <c r="A53" s="84">
        <v>52001</v>
      </c>
      <c r="B53" s="155">
        <f t="shared" si="4"/>
        <v>181</v>
      </c>
      <c r="C53" s="155">
        <f t="shared" si="11"/>
        <v>8035</v>
      </c>
      <c r="D53" s="69">
        <f t="shared" si="9"/>
        <v>30</v>
      </c>
      <c r="E53" s="136"/>
      <c r="F53" s="70">
        <v>0.0475</v>
      </c>
      <c r="G53" s="137">
        <f t="shared" si="10"/>
        <v>0.7125</v>
      </c>
      <c r="H53" s="158">
        <f t="shared" si="5"/>
        <v>0.7125</v>
      </c>
      <c r="I53" s="99">
        <f t="shared" si="6"/>
        <v>5724.9375</v>
      </c>
      <c r="J53" s="100">
        <f t="shared" si="12"/>
        <v>0.08752775617124149</v>
      </c>
      <c r="K53" s="100">
        <f t="shared" si="13"/>
        <v>0.0874135528476166</v>
      </c>
      <c r="L53" s="101">
        <f t="shared" si="14"/>
        <v>0.0021347085873976985</v>
      </c>
      <c r="M53" s="101">
        <f t="shared" si="15"/>
        <v>0.002131923290180957</v>
      </c>
      <c r="N53" s="102">
        <f t="shared" si="7"/>
        <v>17.15238349974051</v>
      </c>
      <c r="O53" s="102">
        <f t="shared" si="8"/>
        <v>17.130003636603988</v>
      </c>
      <c r="P53" s="210"/>
      <c r="Q53" s="92"/>
    </row>
    <row r="54" spans="1:17" ht="15">
      <c r="A54" s="84">
        <v>52185</v>
      </c>
      <c r="B54" s="155">
        <f t="shared" si="4"/>
        <v>184</v>
      </c>
      <c r="C54" s="155">
        <f t="shared" si="11"/>
        <v>8219</v>
      </c>
      <c r="D54" s="69">
        <f t="shared" si="9"/>
        <v>25</v>
      </c>
      <c r="E54" s="136">
        <v>5</v>
      </c>
      <c r="F54" s="70">
        <v>0.0475</v>
      </c>
      <c r="G54" s="137">
        <f t="shared" si="10"/>
        <v>0.7125</v>
      </c>
      <c r="H54" s="158">
        <f t="shared" si="5"/>
        <v>5.7125</v>
      </c>
      <c r="I54" s="99">
        <f t="shared" si="6"/>
        <v>46951.037500000006</v>
      </c>
      <c r="J54" s="100">
        <f t="shared" si="12"/>
        <v>0.6690996412396347</v>
      </c>
      <c r="K54" s="100">
        <f t="shared" si="13"/>
        <v>0.6679649385999276</v>
      </c>
      <c r="L54" s="101">
        <f t="shared" si="14"/>
        <v>0.01631862637018298</v>
      </c>
      <c r="M54" s="101">
        <f t="shared" si="15"/>
        <v>0.016290952183444014</v>
      </c>
      <c r="N54" s="102">
        <f t="shared" si="7"/>
        <v>134.12279013653392</v>
      </c>
      <c r="O54" s="102">
        <f t="shared" si="8"/>
        <v>133.89533599572636</v>
      </c>
      <c r="P54" s="210"/>
      <c r="Q54" s="92"/>
    </row>
    <row r="55" spans="1:17" ht="15">
      <c r="A55" s="84">
        <v>52366</v>
      </c>
      <c r="B55" s="155">
        <f t="shared" si="4"/>
        <v>181</v>
      </c>
      <c r="C55" s="155">
        <f t="shared" si="11"/>
        <v>8400</v>
      </c>
      <c r="D55" s="69">
        <f t="shared" si="9"/>
        <v>25</v>
      </c>
      <c r="E55" s="136"/>
      <c r="F55" s="70">
        <v>0.0475</v>
      </c>
      <c r="G55" s="137">
        <f t="shared" si="10"/>
        <v>0.59375</v>
      </c>
      <c r="H55" s="158">
        <f t="shared" si="5"/>
        <v>0.59375</v>
      </c>
      <c r="I55" s="99">
        <f t="shared" si="6"/>
        <v>4987.5</v>
      </c>
      <c r="J55" s="100">
        <f t="shared" si="12"/>
        <v>0.06630890619033446</v>
      </c>
      <c r="K55" s="100">
        <f t="shared" si="13"/>
        <v>0.06622238852092163</v>
      </c>
      <c r="L55" s="101">
        <f t="shared" si="14"/>
        <v>0.0016172034753012868</v>
      </c>
      <c r="M55" s="101">
        <f t="shared" si="15"/>
        <v>0.0016150934016522392</v>
      </c>
      <c r="N55" s="102">
        <f t="shared" si="7"/>
        <v>13.58450919253081</v>
      </c>
      <c r="O55" s="102">
        <f t="shared" si="8"/>
        <v>13.56678457387881</v>
      </c>
      <c r="P55" s="210"/>
      <c r="Q55" s="92"/>
    </row>
    <row r="56" spans="1:17" ht="15">
      <c r="A56" s="84">
        <v>52550</v>
      </c>
      <c r="B56" s="155">
        <f t="shared" si="4"/>
        <v>184</v>
      </c>
      <c r="C56" s="155">
        <f t="shared" si="11"/>
        <v>8584</v>
      </c>
      <c r="D56" s="69">
        <f t="shared" si="9"/>
        <v>20</v>
      </c>
      <c r="E56" s="136">
        <v>5</v>
      </c>
      <c r="F56" s="70">
        <v>0.0475</v>
      </c>
      <c r="G56" s="137">
        <f t="shared" si="10"/>
        <v>0.59375</v>
      </c>
      <c r="H56" s="158">
        <f t="shared" si="5"/>
        <v>5.59375</v>
      </c>
      <c r="I56" s="99">
        <f t="shared" si="6"/>
        <v>48016.75</v>
      </c>
      <c r="J56" s="100">
        <f t="shared" si="12"/>
        <v>0.5956277888496846</v>
      </c>
      <c r="K56" s="100">
        <f t="shared" si="13"/>
        <v>0.5946176845503631</v>
      </c>
      <c r="L56" s="101">
        <f t="shared" si="14"/>
        <v>0.014526726279404977</v>
      </c>
      <c r="M56" s="101">
        <f t="shared" si="15"/>
        <v>0.014502090913250837</v>
      </c>
      <c r="N56" s="102">
        <f t="shared" si="7"/>
        <v>124.69741838241232</v>
      </c>
      <c r="O56" s="102">
        <f t="shared" si="8"/>
        <v>124.48594839934518</v>
      </c>
      <c r="P56" s="210"/>
      <c r="Q56" s="92"/>
    </row>
    <row r="57" spans="1:17" ht="15">
      <c r="A57" s="84">
        <v>52732</v>
      </c>
      <c r="B57" s="155">
        <f t="shared" si="4"/>
        <v>182</v>
      </c>
      <c r="C57" s="155">
        <f t="shared" si="11"/>
        <v>8766</v>
      </c>
      <c r="D57" s="69">
        <f t="shared" si="9"/>
        <v>20</v>
      </c>
      <c r="E57" s="136"/>
      <c r="F57" s="70">
        <v>0.0475</v>
      </c>
      <c r="G57" s="137">
        <f t="shared" si="10"/>
        <v>0.475</v>
      </c>
      <c r="H57" s="158">
        <f t="shared" si="5"/>
        <v>0.475</v>
      </c>
      <c r="I57" s="99">
        <f aca="true" t="shared" si="16" ref="I57:I64">+H57*C57</f>
        <v>4163.849999999999</v>
      </c>
      <c r="J57" s="100">
        <f t="shared" si="12"/>
        <v>0.04822465904751597</v>
      </c>
      <c r="K57" s="100">
        <f t="shared" si="13"/>
        <v>0.0481491625730928</v>
      </c>
      <c r="L57" s="101">
        <f t="shared" si="14"/>
        <v>0.0011761479820372996</v>
      </c>
      <c r="M57" s="101">
        <f t="shared" si="15"/>
        <v>0.0011743067035752527</v>
      </c>
      <c r="N57" s="102">
        <f t="shared" si="7"/>
        <v>10.310113210538969</v>
      </c>
      <c r="O57" s="102">
        <f aca="true" t="shared" si="17" ref="O57:O64">+M57*C57</f>
        <v>10.293972563540665</v>
      </c>
      <c r="P57" s="210"/>
      <c r="Q57" s="92"/>
    </row>
    <row r="58" spans="1:17" ht="15">
      <c r="A58" s="84">
        <v>52916</v>
      </c>
      <c r="B58" s="155">
        <f t="shared" si="4"/>
        <v>184</v>
      </c>
      <c r="C58" s="155">
        <f t="shared" si="11"/>
        <v>8950</v>
      </c>
      <c r="D58" s="69">
        <f t="shared" si="9"/>
        <v>15</v>
      </c>
      <c r="E58" s="136">
        <v>5</v>
      </c>
      <c r="F58" s="70">
        <v>0.0475</v>
      </c>
      <c r="G58" s="137">
        <f t="shared" si="10"/>
        <v>0.475</v>
      </c>
      <c r="H58" s="158">
        <f t="shared" si="5"/>
        <v>5.475</v>
      </c>
      <c r="I58" s="99">
        <f t="shared" si="16"/>
        <v>49001.25</v>
      </c>
      <c r="J58" s="100">
        <f t="shared" si="12"/>
        <v>0.5299847059749352</v>
      </c>
      <c r="K58" s="100">
        <f t="shared" si="13"/>
        <v>0.5289477846000821</v>
      </c>
      <c r="L58" s="101">
        <f t="shared" si="14"/>
        <v>0.012925761524386755</v>
      </c>
      <c r="M58" s="101">
        <f t="shared" si="15"/>
        <v>0.012900472118372227</v>
      </c>
      <c r="N58" s="102">
        <f t="shared" si="7"/>
        <v>115.68556564326146</v>
      </c>
      <c r="O58" s="102">
        <f t="shared" si="17"/>
        <v>115.45922545943142</v>
      </c>
      <c r="P58" s="210"/>
      <c r="Q58" s="92"/>
    </row>
    <row r="59" spans="1:17" ht="15">
      <c r="A59" s="84">
        <v>53097</v>
      </c>
      <c r="B59" s="155">
        <f t="shared" si="4"/>
        <v>181</v>
      </c>
      <c r="C59" s="155">
        <f t="shared" si="11"/>
        <v>9131</v>
      </c>
      <c r="D59" s="69">
        <f t="shared" si="9"/>
        <v>15</v>
      </c>
      <c r="E59" s="136"/>
      <c r="F59" s="70">
        <v>0.0475</v>
      </c>
      <c r="G59" s="137">
        <f t="shared" si="10"/>
        <v>0.35625</v>
      </c>
      <c r="H59" s="158">
        <f t="shared" si="5"/>
        <v>0.35625</v>
      </c>
      <c r="I59" s="99">
        <f t="shared" si="16"/>
        <v>3252.9187500000003</v>
      </c>
      <c r="J59" s="100">
        <f t="shared" si="12"/>
        <v>0.03288044935057907</v>
      </c>
      <c r="K59" s="100">
        <f t="shared" si="13"/>
        <v>0.03282897448165418</v>
      </c>
      <c r="L59" s="101">
        <f t="shared" si="14"/>
        <v>0.0008019190786617952</v>
      </c>
      <c r="M59" s="101">
        <f t="shared" si="15"/>
        <v>0.0008006636615285813</v>
      </c>
      <c r="N59" s="102">
        <f t="shared" si="7"/>
        <v>7.322323107260852</v>
      </c>
      <c r="O59" s="102">
        <f t="shared" si="17"/>
        <v>7.310859893417476</v>
      </c>
      <c r="P59" s="210"/>
      <c r="Q59" s="92"/>
    </row>
    <row r="60" spans="1:17" ht="15">
      <c r="A60" s="84">
        <v>53281</v>
      </c>
      <c r="B60" s="155">
        <f t="shared" si="4"/>
        <v>184</v>
      </c>
      <c r="C60" s="155">
        <f t="shared" si="11"/>
        <v>9315</v>
      </c>
      <c r="D60" s="69">
        <f t="shared" si="9"/>
        <v>10</v>
      </c>
      <c r="E60" s="136">
        <v>5</v>
      </c>
      <c r="F60" s="70">
        <v>0.0475</v>
      </c>
      <c r="G60" s="137">
        <f t="shared" si="10"/>
        <v>0.35625</v>
      </c>
      <c r="H60" s="158">
        <f t="shared" si="5"/>
        <v>5.35625</v>
      </c>
      <c r="I60" s="99">
        <f t="shared" si="16"/>
        <v>49893.46875</v>
      </c>
      <c r="J60" s="100">
        <f t="shared" si="12"/>
        <v>0.4713541853679113</v>
      </c>
      <c r="K60" s="100">
        <f t="shared" si="13"/>
        <v>0.47043197530331093</v>
      </c>
      <c r="L60" s="101">
        <f t="shared" si="14"/>
        <v>0.011495825681194942</v>
      </c>
      <c r="M60" s="101">
        <f t="shared" si="15"/>
        <v>0.011473333961649025</v>
      </c>
      <c r="N60" s="102">
        <f t="shared" si="7"/>
        <v>107.08361622033088</v>
      </c>
      <c r="O60" s="102">
        <f t="shared" si="17"/>
        <v>106.87410585276066</v>
      </c>
      <c r="P60" s="210"/>
      <c r="Q60" s="92"/>
    </row>
    <row r="61" spans="1:17" ht="15">
      <c r="A61" s="84">
        <v>53462</v>
      </c>
      <c r="B61" s="155">
        <f t="shared" si="4"/>
        <v>181</v>
      </c>
      <c r="C61" s="155">
        <f t="shared" si="11"/>
        <v>9496</v>
      </c>
      <c r="D61" s="69">
        <f t="shared" si="9"/>
        <v>10</v>
      </c>
      <c r="E61" s="136"/>
      <c r="F61" s="70">
        <v>0.0475</v>
      </c>
      <c r="G61" s="137">
        <f t="shared" si="10"/>
        <v>0.2375</v>
      </c>
      <c r="H61" s="158">
        <f t="shared" si="5"/>
        <v>0.2375</v>
      </c>
      <c r="I61" s="99">
        <f t="shared" si="16"/>
        <v>2255.2999999999997</v>
      </c>
      <c r="J61" s="100">
        <f t="shared" si="12"/>
        <v>0.019927545060957008</v>
      </c>
      <c r="K61" s="100">
        <f t="shared" si="13"/>
        <v>0.019896348170699497</v>
      </c>
      <c r="L61" s="101">
        <f t="shared" si="14"/>
        <v>0.0004860115628253303</v>
      </c>
      <c r="M61" s="101">
        <f t="shared" si="15"/>
        <v>0.00048525070395671584</v>
      </c>
      <c r="N61" s="102">
        <f t="shared" si="7"/>
        <v>4.615165800589336</v>
      </c>
      <c r="O61" s="102">
        <f t="shared" si="17"/>
        <v>4.607940684772974</v>
      </c>
      <c r="P61" s="210"/>
      <c r="Q61" s="92"/>
    </row>
    <row r="62" spans="1:17" ht="15">
      <c r="A62" s="84">
        <v>53646</v>
      </c>
      <c r="B62" s="155">
        <f t="shared" si="4"/>
        <v>184</v>
      </c>
      <c r="C62" s="155">
        <f t="shared" si="11"/>
        <v>9680</v>
      </c>
      <c r="D62" s="69">
        <f t="shared" si="9"/>
        <v>5</v>
      </c>
      <c r="E62" s="136">
        <v>5</v>
      </c>
      <c r="F62" s="70">
        <v>0.0475</v>
      </c>
      <c r="G62" s="137">
        <f t="shared" si="10"/>
        <v>0.2375</v>
      </c>
      <c r="H62" s="158">
        <f t="shared" si="5"/>
        <v>5.2375</v>
      </c>
      <c r="I62" s="99">
        <f t="shared" si="16"/>
        <v>50699</v>
      </c>
      <c r="J62" s="100">
        <f t="shared" si="12"/>
        <v>0.41900372052435525</v>
      </c>
      <c r="K62" s="100">
        <f t="shared" si="13"/>
        <v>0.4181839347662823</v>
      </c>
      <c r="L62" s="101">
        <f t="shared" si="14"/>
        <v>0.010219053697720762</v>
      </c>
      <c r="M62" s="101">
        <f t="shared" si="15"/>
        <v>0.010199059997731914</v>
      </c>
      <c r="N62" s="102">
        <f t="shared" si="7"/>
        <v>98.92043979393698</v>
      </c>
      <c r="O62" s="102">
        <f t="shared" si="17"/>
        <v>98.72690077804494</v>
      </c>
      <c r="P62" s="210"/>
      <c r="Q62" s="92"/>
    </row>
    <row r="63" spans="1:17" ht="15">
      <c r="A63" s="84">
        <v>53827</v>
      </c>
      <c r="B63" s="155">
        <f t="shared" si="4"/>
        <v>181</v>
      </c>
      <c r="C63" s="155">
        <f t="shared" si="11"/>
        <v>9861</v>
      </c>
      <c r="D63" s="69">
        <f t="shared" si="9"/>
        <v>5</v>
      </c>
      <c r="E63" s="136"/>
      <c r="F63" s="70">
        <v>0.0475</v>
      </c>
      <c r="G63" s="137">
        <f t="shared" si="10"/>
        <v>0.11875</v>
      </c>
      <c r="H63" s="158">
        <f t="shared" si="5"/>
        <v>0.11875</v>
      </c>
      <c r="I63" s="99">
        <f t="shared" si="16"/>
        <v>1170.9937499999999</v>
      </c>
      <c r="J63" s="100">
        <f t="shared" si="12"/>
        <v>0.00905797502770773</v>
      </c>
      <c r="K63" s="100">
        <f t="shared" si="13"/>
        <v>0.009043794623045227</v>
      </c>
      <c r="L63" s="101">
        <f t="shared" si="14"/>
        <v>0.00022091434673878645</v>
      </c>
      <c r="M63" s="101">
        <f t="shared" si="15"/>
        <v>0.0002205685017985072</v>
      </c>
      <c r="N63" s="102">
        <f t="shared" si="7"/>
        <v>2.178436373191173</v>
      </c>
      <c r="O63" s="102">
        <f t="shared" si="17"/>
        <v>2.1750259962350795</v>
      </c>
      <c r="P63" s="210"/>
      <c r="Q63" s="92"/>
    </row>
    <row r="64" spans="1:17" ht="15.75" thickBot="1">
      <c r="A64" s="88">
        <v>54011</v>
      </c>
      <c r="B64" s="89">
        <f t="shared" si="4"/>
        <v>184</v>
      </c>
      <c r="C64" s="89">
        <f t="shared" si="11"/>
        <v>10045</v>
      </c>
      <c r="D64" s="90">
        <f t="shared" si="9"/>
        <v>0</v>
      </c>
      <c r="E64" s="141">
        <v>5</v>
      </c>
      <c r="F64" s="75">
        <v>0.0475</v>
      </c>
      <c r="G64" s="142">
        <f t="shared" si="10"/>
        <v>0.11875</v>
      </c>
      <c r="H64" s="194">
        <f t="shared" si="5"/>
        <v>5.11875</v>
      </c>
      <c r="I64" s="113">
        <f t="shared" si="16"/>
        <v>51417.84375</v>
      </c>
      <c r="J64" s="114">
        <f t="shared" si="12"/>
        <v>0.37227603288071925</v>
      </c>
      <c r="K64" s="114">
        <f t="shared" si="13"/>
        <v>0.371547670398769</v>
      </c>
      <c r="L64" s="101">
        <f t="shared" si="14"/>
        <v>0.009079415251066723</v>
      </c>
      <c r="M64" s="115">
        <f t="shared" si="15"/>
        <v>0.00906165126724066</v>
      </c>
      <c r="N64" s="102">
        <f t="shared" si="7"/>
        <v>91.20272619696523</v>
      </c>
      <c r="O64" s="116">
        <f t="shared" si="17"/>
        <v>91.02428697943243</v>
      </c>
      <c r="P64" s="211"/>
      <c r="Q64" s="117"/>
    </row>
    <row r="65" spans="8:17" ht="15.75" thickBot="1">
      <c r="H65" s="118">
        <f>SUM(H15:H64)</f>
        <v>161.375</v>
      </c>
      <c r="I65" s="119">
        <f>SUM(I15:I64)/H65</f>
        <v>5876.92254066615</v>
      </c>
      <c r="J65" s="145">
        <f>SUM(J15:J64)</f>
        <v>41.04361106990315</v>
      </c>
      <c r="K65" s="145">
        <f>SUM(K15:K64)</f>
        <v>41.002203620655116</v>
      </c>
      <c r="L65" s="121">
        <f>SUM(L15:L64)</f>
        <v>1.0010098835084844</v>
      </c>
      <c r="M65" s="121">
        <f>SUM(M15:M64)</f>
        <v>0.9999999999999996</v>
      </c>
      <c r="N65" s="122">
        <f>SUM(N15:N64)/360</f>
        <v>12.972574445207426</v>
      </c>
      <c r="O65" s="122">
        <f>SUM(O15:O64)/365</f>
        <v>12.77979991129718</v>
      </c>
      <c r="P65" s="146">
        <f>+N65/(1+D3/2)</f>
        <v>12.354832804959454</v>
      </c>
      <c r="Q65" s="146">
        <f>+O65/(1+D3/2)</f>
        <v>12.171238010759218</v>
      </c>
    </row>
    <row r="66" spans="11:14" ht="15.75" thickBot="1">
      <c r="K66" s="124" t="s">
        <v>151</v>
      </c>
      <c r="L66" s="222"/>
      <c r="M66" s="125">
        <f>+I65/365</f>
        <v>16.101157645660685</v>
      </c>
      <c r="N66" s="208"/>
    </row>
    <row r="67" ht="15.75" thickTop="1"/>
  </sheetData>
  <sheetProtection password="DCE5" sheet="1" objects="1" scenarios="1"/>
  <mergeCells count="8">
    <mergeCell ref="S8:T9"/>
    <mergeCell ref="A1:H1"/>
    <mergeCell ref="F9:G9"/>
    <mergeCell ref="F3:G3"/>
    <mergeCell ref="F4:G4"/>
    <mergeCell ref="F5:G5"/>
    <mergeCell ref="F6:G6"/>
    <mergeCell ref="F7:G7"/>
  </mergeCells>
  <dataValidations count="1">
    <dataValidation type="list" allowBlank="1" showInputMessage="1" showErrorMessage="1" sqref="H3">
      <formula1>$Z$2:$Z$18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1:U7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2.28125" style="38" bestFit="1" customWidth="1"/>
    <col min="2" max="3" width="10.7109375" style="38" bestFit="1" customWidth="1"/>
    <col min="4" max="5" width="9.140625" style="38" customWidth="1"/>
    <col min="6" max="6" width="10.7109375" style="38" bestFit="1" customWidth="1"/>
    <col min="7" max="7" width="9.140625" style="38" customWidth="1"/>
    <col min="8" max="8" width="9.57421875" style="38" bestFit="1" customWidth="1"/>
    <col min="9" max="10" width="9.140625" style="38" customWidth="1"/>
    <col min="11" max="11" width="10.7109375" style="38" hidden="1" customWidth="1"/>
    <col min="12" max="12" width="11.7109375" style="38" customWidth="1"/>
    <col min="13" max="13" width="7.57421875" style="38" customWidth="1"/>
    <col min="14" max="14" width="11.7109375" style="62" customWidth="1"/>
    <col min="15" max="15" width="7.57421875" style="38" customWidth="1"/>
    <col min="16" max="16" width="11.7109375" style="38" customWidth="1"/>
    <col min="17" max="17" width="7.57421875" style="38" customWidth="1"/>
    <col min="18" max="18" width="11.7109375" style="38" customWidth="1"/>
    <col min="19" max="19" width="7.57421875" style="38" customWidth="1"/>
    <col min="20" max="20" width="11.7109375" style="38" customWidth="1"/>
    <col min="21" max="21" width="7.57421875" style="38" customWidth="1"/>
    <col min="22" max="16384" width="9.140625" style="38" customWidth="1"/>
  </cols>
  <sheetData>
    <row r="1" spans="11:21" ht="31.5" customHeight="1" thickBot="1">
      <c r="K1" s="159" t="s">
        <v>13</v>
      </c>
      <c r="L1" s="160" t="s">
        <v>8</v>
      </c>
      <c r="M1" s="160" t="s">
        <v>14</v>
      </c>
      <c r="N1" s="160" t="s">
        <v>9</v>
      </c>
      <c r="O1" s="160" t="s">
        <v>14</v>
      </c>
      <c r="P1" s="160" t="s">
        <v>11</v>
      </c>
      <c r="Q1" s="160" t="s">
        <v>14</v>
      </c>
      <c r="R1" s="160" t="s">
        <v>10</v>
      </c>
      <c r="S1" s="160" t="s">
        <v>14</v>
      </c>
      <c r="T1" s="160" t="s">
        <v>12</v>
      </c>
      <c r="U1" s="160" t="s">
        <v>14</v>
      </c>
    </row>
    <row r="2" spans="1:21" ht="15">
      <c r="A2" s="161"/>
      <c r="B2" s="272" t="s">
        <v>5</v>
      </c>
      <c r="C2" s="272"/>
      <c r="D2" s="162"/>
      <c r="E2" s="162"/>
      <c r="F2" s="162"/>
      <c r="G2" s="272" t="s">
        <v>4</v>
      </c>
      <c r="H2" s="273"/>
      <c r="K2" s="62">
        <v>45061</v>
      </c>
      <c r="L2" s="163">
        <v>45061</v>
      </c>
      <c r="M2" s="164">
        <v>0.005</v>
      </c>
      <c r="N2" s="163">
        <v>45061</v>
      </c>
      <c r="O2" s="164">
        <v>0.005</v>
      </c>
      <c r="P2" s="163">
        <v>45061</v>
      </c>
      <c r="Q2" s="164">
        <v>0.006</v>
      </c>
      <c r="R2" s="163">
        <v>45061</v>
      </c>
      <c r="S2" s="164">
        <v>0.006</v>
      </c>
      <c r="T2" s="163">
        <v>45061</v>
      </c>
      <c r="U2" s="164">
        <v>0.005</v>
      </c>
    </row>
    <row r="3" spans="1:21" ht="15">
      <c r="A3" s="165"/>
      <c r="B3" s="91" t="s">
        <v>0</v>
      </c>
      <c r="C3" s="91" t="s">
        <v>2</v>
      </c>
      <c r="D3" s="91"/>
      <c r="E3" s="91"/>
      <c r="F3" s="91"/>
      <c r="G3" s="91" t="s">
        <v>7</v>
      </c>
      <c r="H3" s="166" t="s">
        <v>6</v>
      </c>
      <c r="K3" s="62">
        <v>45245</v>
      </c>
      <c r="L3" s="163">
        <v>45245</v>
      </c>
      <c r="M3" s="164">
        <v>0.005</v>
      </c>
      <c r="N3" s="163">
        <v>45245</v>
      </c>
      <c r="O3" s="164">
        <v>0.005</v>
      </c>
      <c r="P3" s="163">
        <v>45245</v>
      </c>
      <c r="Q3" s="164">
        <v>0.006</v>
      </c>
      <c r="R3" s="163">
        <v>45245</v>
      </c>
      <c r="S3" s="164">
        <v>0.006</v>
      </c>
      <c r="T3" s="163">
        <v>45245</v>
      </c>
      <c r="U3" s="164">
        <v>0.005</v>
      </c>
    </row>
    <row r="4" spans="1:21" ht="15">
      <c r="A4" s="165"/>
      <c r="B4" s="91" t="s">
        <v>1</v>
      </c>
      <c r="C4" s="91" t="s">
        <v>3</v>
      </c>
      <c r="D4" s="91"/>
      <c r="E4" s="91"/>
      <c r="F4" s="167">
        <v>44150</v>
      </c>
      <c r="G4" s="91"/>
      <c r="H4" s="168">
        <v>100</v>
      </c>
      <c r="K4" s="62">
        <v>45427</v>
      </c>
      <c r="L4" s="163">
        <v>45427</v>
      </c>
      <c r="M4" s="164">
        <v>0.005</v>
      </c>
      <c r="N4" s="163">
        <v>45427</v>
      </c>
      <c r="O4" s="164">
        <v>0.015</v>
      </c>
      <c r="P4" s="163">
        <v>45427</v>
      </c>
      <c r="Q4" s="164">
        <v>0.0175</v>
      </c>
      <c r="R4" s="163">
        <v>45427</v>
      </c>
      <c r="S4" s="164">
        <v>0.03</v>
      </c>
      <c r="T4" s="163">
        <v>45427</v>
      </c>
      <c r="U4" s="164">
        <v>0.0175</v>
      </c>
    </row>
    <row r="5" spans="1:21" ht="15.75">
      <c r="A5" s="169" t="s">
        <v>8</v>
      </c>
      <c r="B5" s="167">
        <v>44880</v>
      </c>
      <c r="C5" s="167">
        <v>45976</v>
      </c>
      <c r="D5" s="170">
        <v>0.005</v>
      </c>
      <c r="E5" s="91"/>
      <c r="F5" s="167">
        <v>46341</v>
      </c>
      <c r="G5" s="171">
        <v>0.2</v>
      </c>
      <c r="H5" s="168">
        <f>+H4-G5*100</f>
        <v>80</v>
      </c>
      <c r="K5" s="62">
        <v>45611</v>
      </c>
      <c r="L5" s="163">
        <v>45611</v>
      </c>
      <c r="M5" s="164">
        <v>0.005</v>
      </c>
      <c r="N5" s="163">
        <v>45611</v>
      </c>
      <c r="O5" s="164">
        <v>0.015</v>
      </c>
      <c r="P5" s="163">
        <v>45611</v>
      </c>
      <c r="Q5" s="164">
        <v>0.0175</v>
      </c>
      <c r="R5" s="163">
        <v>45611</v>
      </c>
      <c r="S5" s="164">
        <v>0.03</v>
      </c>
      <c r="T5" s="163">
        <v>45611</v>
      </c>
      <c r="U5" s="164">
        <v>0.0175</v>
      </c>
    </row>
    <row r="6" spans="1:21" ht="15">
      <c r="A6" s="165"/>
      <c r="B6" s="167">
        <v>45976</v>
      </c>
      <c r="C6" s="167">
        <v>46706</v>
      </c>
      <c r="D6" s="171">
        <v>0.01</v>
      </c>
      <c r="E6" s="91"/>
      <c r="F6" s="167">
        <v>46706</v>
      </c>
      <c r="G6" s="171">
        <v>0.2</v>
      </c>
      <c r="H6" s="168">
        <f>+H5-G6*100</f>
        <v>60</v>
      </c>
      <c r="K6" s="62">
        <v>45792</v>
      </c>
      <c r="L6" s="163">
        <v>45792</v>
      </c>
      <c r="M6" s="164">
        <v>0.005</v>
      </c>
      <c r="N6" s="163">
        <v>45792</v>
      </c>
      <c r="O6" s="164">
        <v>0.015</v>
      </c>
      <c r="P6" s="163">
        <v>45792</v>
      </c>
      <c r="Q6" s="164">
        <v>0.0175</v>
      </c>
      <c r="R6" s="163">
        <v>45792</v>
      </c>
      <c r="S6" s="164">
        <v>0.03</v>
      </c>
      <c r="T6" s="163">
        <v>45792</v>
      </c>
      <c r="U6" s="164">
        <v>0.0175</v>
      </c>
    </row>
    <row r="7" spans="1:21" ht="15">
      <c r="A7" s="165"/>
      <c r="B7" s="167">
        <v>46706</v>
      </c>
      <c r="C7" s="167">
        <v>47802</v>
      </c>
      <c r="D7" s="170">
        <v>0.0175</v>
      </c>
      <c r="E7" s="91"/>
      <c r="F7" s="167">
        <v>47072</v>
      </c>
      <c r="G7" s="171">
        <v>0.2</v>
      </c>
      <c r="H7" s="168">
        <f>+H6-G7*100</f>
        <v>40</v>
      </c>
      <c r="K7" s="62">
        <v>45976</v>
      </c>
      <c r="L7" s="163">
        <v>45976</v>
      </c>
      <c r="M7" s="164">
        <v>0.005</v>
      </c>
      <c r="N7" s="163">
        <v>45976</v>
      </c>
      <c r="O7" s="164">
        <v>0.015</v>
      </c>
      <c r="P7" s="163">
        <v>45976</v>
      </c>
      <c r="Q7" s="164">
        <v>0.0175</v>
      </c>
      <c r="R7" s="163">
        <v>45976</v>
      </c>
      <c r="S7" s="164">
        <v>0.03</v>
      </c>
      <c r="T7" s="163">
        <v>45976</v>
      </c>
      <c r="U7" s="164">
        <v>0.0175</v>
      </c>
    </row>
    <row r="8" spans="1:21" ht="15">
      <c r="A8" s="165"/>
      <c r="B8" s="91"/>
      <c r="C8" s="91"/>
      <c r="D8" s="91"/>
      <c r="E8" s="91"/>
      <c r="F8" s="167">
        <v>47437</v>
      </c>
      <c r="G8" s="171">
        <v>0.2</v>
      </c>
      <c r="H8" s="168">
        <f>+H7-G8*100</f>
        <v>20</v>
      </c>
      <c r="K8" s="62">
        <v>46157</v>
      </c>
      <c r="L8" s="163">
        <v>46157</v>
      </c>
      <c r="M8" s="172">
        <v>0.01</v>
      </c>
      <c r="N8" s="163">
        <v>46157</v>
      </c>
      <c r="O8" s="164">
        <v>0.0275</v>
      </c>
      <c r="P8" s="163">
        <v>46157</v>
      </c>
      <c r="Q8" s="172">
        <v>0.04</v>
      </c>
      <c r="R8" s="163">
        <v>46157</v>
      </c>
      <c r="S8" s="173">
        <v>0.03625</v>
      </c>
      <c r="T8" s="163">
        <v>46157</v>
      </c>
      <c r="U8" s="164">
        <v>0.0375</v>
      </c>
    </row>
    <row r="9" spans="1:21" ht="15.75" thickBot="1">
      <c r="A9" s="174"/>
      <c r="B9" s="175"/>
      <c r="C9" s="175"/>
      <c r="D9" s="175"/>
      <c r="E9" s="175"/>
      <c r="F9" s="176">
        <v>47802</v>
      </c>
      <c r="G9" s="177">
        <v>0.2</v>
      </c>
      <c r="H9" s="178">
        <f>+H8-G9*100</f>
        <v>0</v>
      </c>
      <c r="K9" s="62">
        <v>46341</v>
      </c>
      <c r="L9" s="163">
        <v>46341</v>
      </c>
      <c r="M9" s="172">
        <v>0.01</v>
      </c>
      <c r="N9" s="163">
        <v>46341</v>
      </c>
      <c r="O9" s="164">
        <v>0.0275</v>
      </c>
      <c r="P9" s="163">
        <v>46341</v>
      </c>
      <c r="Q9" s="172">
        <v>0.04</v>
      </c>
      <c r="R9" s="163">
        <v>46341</v>
      </c>
      <c r="S9" s="173">
        <v>0.03625</v>
      </c>
      <c r="T9" s="163">
        <v>46341</v>
      </c>
      <c r="U9" s="164">
        <v>0.0375</v>
      </c>
    </row>
    <row r="10" spans="11:21" ht="15.75" thickBot="1">
      <c r="K10" s="62">
        <v>46522</v>
      </c>
      <c r="L10" s="163">
        <v>46522</v>
      </c>
      <c r="M10" s="172">
        <v>0.01</v>
      </c>
      <c r="N10" s="163">
        <v>46522</v>
      </c>
      <c r="O10" s="164">
        <v>0.0275</v>
      </c>
      <c r="P10" s="163">
        <v>46522</v>
      </c>
      <c r="Q10" s="172">
        <v>0.04</v>
      </c>
      <c r="R10" s="163">
        <v>46522</v>
      </c>
      <c r="S10" s="173">
        <v>0.03625</v>
      </c>
      <c r="T10" s="163">
        <v>46522</v>
      </c>
      <c r="U10" s="164">
        <v>0.0375</v>
      </c>
    </row>
    <row r="11" spans="1:21" ht="15">
      <c r="A11" s="161"/>
      <c r="B11" s="272" t="s">
        <v>5</v>
      </c>
      <c r="C11" s="272"/>
      <c r="D11" s="162"/>
      <c r="E11" s="162"/>
      <c r="F11" s="162"/>
      <c r="G11" s="272" t="s">
        <v>4</v>
      </c>
      <c r="H11" s="273"/>
      <c r="K11" s="62">
        <v>46706</v>
      </c>
      <c r="L11" s="163">
        <v>46706</v>
      </c>
      <c r="M11" s="172">
        <v>0.01</v>
      </c>
      <c r="N11" s="163">
        <v>46706</v>
      </c>
      <c r="O11" s="164">
        <v>0.0275</v>
      </c>
      <c r="P11" s="163">
        <v>46706</v>
      </c>
      <c r="Q11" s="172">
        <v>0.04</v>
      </c>
      <c r="R11" s="163">
        <v>46706</v>
      </c>
      <c r="S11" s="173">
        <v>0.03625</v>
      </c>
      <c r="T11" s="163">
        <v>46706</v>
      </c>
      <c r="U11" s="164">
        <v>0.0375</v>
      </c>
    </row>
    <row r="12" spans="1:21" ht="15">
      <c r="A12" s="165"/>
      <c r="B12" s="91" t="s">
        <v>0</v>
      </c>
      <c r="C12" s="91" t="s">
        <v>2</v>
      </c>
      <c r="D12" s="91"/>
      <c r="E12" s="91"/>
      <c r="F12" s="91"/>
      <c r="G12" s="91" t="s">
        <v>7</v>
      </c>
      <c r="H12" s="166" t="s">
        <v>6</v>
      </c>
      <c r="K12" s="62">
        <v>46888</v>
      </c>
      <c r="L12" s="163">
        <v>46888</v>
      </c>
      <c r="M12" s="164">
        <v>0.0175</v>
      </c>
      <c r="N12" s="163">
        <v>46888</v>
      </c>
      <c r="O12" s="173">
        <v>0.03875</v>
      </c>
      <c r="P12" s="163">
        <v>46888</v>
      </c>
      <c r="Q12" s="164">
        <v>0.045</v>
      </c>
      <c r="R12" s="163">
        <v>46888</v>
      </c>
      <c r="S12" s="173">
        <v>0.03625</v>
      </c>
      <c r="T12" s="163">
        <v>46888</v>
      </c>
      <c r="U12" s="164">
        <v>0.0475</v>
      </c>
    </row>
    <row r="13" spans="1:21" ht="15">
      <c r="A13" s="165"/>
      <c r="B13" s="91" t="s">
        <v>1</v>
      </c>
      <c r="C13" s="91" t="s">
        <v>3</v>
      </c>
      <c r="D13" s="91"/>
      <c r="E13" s="91"/>
      <c r="F13" s="167">
        <v>44150</v>
      </c>
      <c r="G13" s="91"/>
      <c r="H13" s="168">
        <v>100</v>
      </c>
      <c r="K13" s="62">
        <v>47072</v>
      </c>
      <c r="L13" s="163">
        <v>47072</v>
      </c>
      <c r="M13" s="164">
        <v>0.0175</v>
      </c>
      <c r="N13" s="163">
        <v>47072</v>
      </c>
      <c r="O13" s="173">
        <v>0.03875</v>
      </c>
      <c r="P13" s="163">
        <v>47072</v>
      </c>
      <c r="Q13" s="164">
        <v>0.045</v>
      </c>
      <c r="R13" s="163">
        <v>47072</v>
      </c>
      <c r="S13" s="173">
        <v>0.03625</v>
      </c>
      <c r="T13" s="163">
        <v>47072</v>
      </c>
      <c r="U13" s="164">
        <v>0.0475</v>
      </c>
    </row>
    <row r="14" spans="1:21" ht="15.75">
      <c r="A14" s="169" t="s">
        <v>9</v>
      </c>
      <c r="B14" s="167">
        <v>44880</v>
      </c>
      <c r="C14" s="167">
        <v>45245</v>
      </c>
      <c r="D14" s="170">
        <v>0.005</v>
      </c>
      <c r="E14" s="91"/>
      <c r="F14" s="167">
        <v>48167</v>
      </c>
      <c r="G14" s="170">
        <v>0.16666666666666669</v>
      </c>
      <c r="H14" s="168">
        <f aca="true" t="shared" si="0" ref="H14:H19">+H13-G14*100</f>
        <v>83.33333333333333</v>
      </c>
      <c r="K14" s="62">
        <v>47253</v>
      </c>
      <c r="L14" s="163">
        <v>47253</v>
      </c>
      <c r="M14" s="164">
        <v>0.0175</v>
      </c>
      <c r="N14" s="163">
        <v>47253</v>
      </c>
      <c r="O14" s="173">
        <v>0.03875</v>
      </c>
      <c r="P14" s="163">
        <v>47253</v>
      </c>
      <c r="Q14" s="164">
        <v>0.045</v>
      </c>
      <c r="R14" s="163">
        <v>47253</v>
      </c>
      <c r="S14" s="173">
        <v>0.03625</v>
      </c>
      <c r="T14" s="163">
        <v>47253</v>
      </c>
      <c r="U14" s="164">
        <v>0.0475</v>
      </c>
    </row>
    <row r="15" spans="1:21" ht="15">
      <c r="A15" s="165"/>
      <c r="B15" s="167">
        <f>+C14</f>
        <v>45245</v>
      </c>
      <c r="C15" s="167">
        <v>45976</v>
      </c>
      <c r="D15" s="170">
        <v>0.015</v>
      </c>
      <c r="E15" s="91"/>
      <c r="F15" s="167">
        <v>48533</v>
      </c>
      <c r="G15" s="170">
        <v>0.16666666666666669</v>
      </c>
      <c r="H15" s="168">
        <f t="shared" si="0"/>
        <v>66.66666666666666</v>
      </c>
      <c r="K15" s="62">
        <v>47437</v>
      </c>
      <c r="L15" s="163">
        <v>47437</v>
      </c>
      <c r="M15" s="164">
        <v>0.0175</v>
      </c>
      <c r="N15" s="163">
        <v>47437</v>
      </c>
      <c r="O15" s="173">
        <v>0.03875</v>
      </c>
      <c r="P15" s="163">
        <v>47437</v>
      </c>
      <c r="Q15" s="164">
        <v>0.045</v>
      </c>
      <c r="R15" s="163">
        <v>47437</v>
      </c>
      <c r="S15" s="173">
        <v>0.04875</v>
      </c>
      <c r="T15" s="163">
        <v>47437</v>
      </c>
      <c r="U15" s="164">
        <v>0.0475</v>
      </c>
    </row>
    <row r="16" spans="1:21" ht="15">
      <c r="A16" s="165"/>
      <c r="B16" s="167">
        <f>+C15</f>
        <v>45976</v>
      </c>
      <c r="C16" s="167">
        <v>46706</v>
      </c>
      <c r="D16" s="170">
        <v>0.0275</v>
      </c>
      <c r="E16" s="91"/>
      <c r="F16" s="167">
        <v>48898</v>
      </c>
      <c r="G16" s="170">
        <v>0.16666666666666669</v>
      </c>
      <c r="H16" s="168">
        <f t="shared" si="0"/>
        <v>49.999999999999986</v>
      </c>
      <c r="K16" s="62">
        <v>47618</v>
      </c>
      <c r="L16" s="163">
        <v>47618</v>
      </c>
      <c r="M16" s="164">
        <v>0.0175</v>
      </c>
      <c r="N16" s="163">
        <v>47618</v>
      </c>
      <c r="O16" s="173">
        <v>0.03875</v>
      </c>
      <c r="P16" s="163">
        <v>47618</v>
      </c>
      <c r="Q16" s="164">
        <v>0.045</v>
      </c>
      <c r="R16" s="163">
        <v>47618</v>
      </c>
      <c r="S16" s="173">
        <v>0.04875</v>
      </c>
      <c r="T16" s="163">
        <v>47618</v>
      </c>
      <c r="U16" s="164">
        <v>0.0475</v>
      </c>
    </row>
    <row r="17" spans="1:21" ht="15">
      <c r="A17" s="165"/>
      <c r="B17" s="167">
        <f>+C16</f>
        <v>46706</v>
      </c>
      <c r="C17" s="167">
        <v>49994</v>
      </c>
      <c r="D17" s="179">
        <v>0.03875</v>
      </c>
      <c r="E17" s="91"/>
      <c r="F17" s="167">
        <v>49263</v>
      </c>
      <c r="G17" s="170">
        <v>0.16666666666666669</v>
      </c>
      <c r="H17" s="168">
        <f t="shared" si="0"/>
        <v>33.333333333333314</v>
      </c>
      <c r="K17" s="62">
        <v>47802</v>
      </c>
      <c r="L17" s="163">
        <v>47802</v>
      </c>
      <c r="M17" s="164">
        <v>0.0175</v>
      </c>
      <c r="N17" s="163">
        <v>47802</v>
      </c>
      <c r="O17" s="180">
        <v>0.03875</v>
      </c>
      <c r="P17" s="163">
        <v>47802</v>
      </c>
      <c r="Q17" s="164">
        <v>0.045</v>
      </c>
      <c r="R17" s="163">
        <v>47802</v>
      </c>
      <c r="S17" s="173">
        <v>0.04875</v>
      </c>
      <c r="T17" s="163">
        <v>47802</v>
      </c>
      <c r="U17" s="164">
        <v>0.0475</v>
      </c>
    </row>
    <row r="18" spans="1:21" ht="15">
      <c r="A18" s="165"/>
      <c r="B18" s="91"/>
      <c r="C18" s="91"/>
      <c r="D18" s="91"/>
      <c r="E18" s="91"/>
      <c r="F18" s="167">
        <v>49628</v>
      </c>
      <c r="G18" s="170">
        <v>0.16666666666666669</v>
      </c>
      <c r="H18" s="168">
        <f t="shared" si="0"/>
        <v>16.666666666666647</v>
      </c>
      <c r="K18" s="62">
        <v>47983</v>
      </c>
      <c r="L18" s="181"/>
      <c r="M18" s="182"/>
      <c r="N18" s="163">
        <v>47983</v>
      </c>
      <c r="O18" s="180">
        <v>0.03875</v>
      </c>
      <c r="P18" s="181">
        <v>47983</v>
      </c>
      <c r="Q18" s="182">
        <v>0.045</v>
      </c>
      <c r="R18" s="163">
        <v>47983</v>
      </c>
      <c r="S18" s="173">
        <v>0.04875</v>
      </c>
      <c r="T18" s="163">
        <v>47983</v>
      </c>
      <c r="U18" s="164">
        <v>0.0475</v>
      </c>
    </row>
    <row r="19" spans="1:21" ht="15.75" thickBot="1">
      <c r="A19" s="174"/>
      <c r="B19" s="175"/>
      <c r="C19" s="175"/>
      <c r="D19" s="175"/>
      <c r="E19" s="175"/>
      <c r="F19" s="176">
        <v>49994</v>
      </c>
      <c r="G19" s="183">
        <v>0.16666666666666669</v>
      </c>
      <c r="H19" s="178">
        <f t="shared" si="0"/>
        <v>0</v>
      </c>
      <c r="K19" s="62">
        <v>48167</v>
      </c>
      <c r="L19" s="181"/>
      <c r="M19" s="182"/>
      <c r="N19" s="163">
        <v>48167</v>
      </c>
      <c r="O19" s="180">
        <v>0.03875</v>
      </c>
      <c r="P19" s="181">
        <v>48167</v>
      </c>
      <c r="Q19" s="182">
        <v>0.045</v>
      </c>
      <c r="R19" s="163">
        <v>48167</v>
      </c>
      <c r="S19" s="173">
        <v>0.04875</v>
      </c>
      <c r="T19" s="163">
        <v>48167</v>
      </c>
      <c r="U19" s="164">
        <v>0.0475</v>
      </c>
    </row>
    <row r="20" spans="11:21" ht="15.75" thickBot="1">
      <c r="K20" s="62">
        <v>48349</v>
      </c>
      <c r="L20" s="181"/>
      <c r="M20" s="182"/>
      <c r="N20" s="163">
        <v>48349</v>
      </c>
      <c r="O20" s="180">
        <v>0.03875</v>
      </c>
      <c r="P20" s="181">
        <v>48349</v>
      </c>
      <c r="Q20" s="182">
        <v>0.045</v>
      </c>
      <c r="R20" s="163">
        <v>48349</v>
      </c>
      <c r="S20" s="173">
        <v>0.04875</v>
      </c>
      <c r="T20" s="163">
        <v>48349</v>
      </c>
      <c r="U20" s="164">
        <v>0.0475</v>
      </c>
    </row>
    <row r="21" spans="1:21" ht="15">
      <c r="A21" s="161"/>
      <c r="B21" s="272" t="s">
        <v>5</v>
      </c>
      <c r="C21" s="272"/>
      <c r="D21" s="184"/>
      <c r="E21" s="184"/>
      <c r="F21" s="184"/>
      <c r="G21" s="272" t="s">
        <v>4</v>
      </c>
      <c r="H21" s="273"/>
      <c r="K21" s="62">
        <v>48533</v>
      </c>
      <c r="L21" s="181"/>
      <c r="M21" s="182"/>
      <c r="N21" s="163">
        <v>48533</v>
      </c>
      <c r="O21" s="180">
        <v>0.03875</v>
      </c>
      <c r="P21" s="181">
        <v>48533</v>
      </c>
      <c r="Q21" s="182">
        <v>0.045</v>
      </c>
      <c r="R21" s="163">
        <v>48533</v>
      </c>
      <c r="S21" s="173">
        <v>0.04875</v>
      </c>
      <c r="T21" s="163">
        <v>48533</v>
      </c>
      <c r="U21" s="164">
        <v>0.0475</v>
      </c>
    </row>
    <row r="22" spans="1:21" ht="15">
      <c r="A22" s="165"/>
      <c r="B22" s="91" t="s">
        <v>0</v>
      </c>
      <c r="C22" s="91" t="s">
        <v>2</v>
      </c>
      <c r="D22" s="91"/>
      <c r="E22" s="91"/>
      <c r="F22" s="91"/>
      <c r="G22" s="91" t="s">
        <v>7</v>
      </c>
      <c r="H22" s="166" t="s">
        <v>6</v>
      </c>
      <c r="K22" s="62">
        <v>48714</v>
      </c>
      <c r="L22" s="181"/>
      <c r="M22" s="182"/>
      <c r="N22" s="163">
        <v>48714</v>
      </c>
      <c r="O22" s="180">
        <v>0.03875</v>
      </c>
      <c r="P22" s="181">
        <v>48714</v>
      </c>
      <c r="Q22" s="182">
        <v>0.045</v>
      </c>
      <c r="R22" s="163">
        <v>48714</v>
      </c>
      <c r="S22" s="173">
        <v>0.04875</v>
      </c>
      <c r="T22" s="163">
        <v>48714</v>
      </c>
      <c r="U22" s="164">
        <v>0.0475</v>
      </c>
    </row>
    <row r="23" spans="1:21" ht="15">
      <c r="A23" s="165"/>
      <c r="B23" s="91" t="s">
        <v>1</v>
      </c>
      <c r="C23" s="91" t="s">
        <v>3</v>
      </c>
      <c r="D23" s="91"/>
      <c r="E23" s="91"/>
      <c r="F23" s="167">
        <v>44150</v>
      </c>
      <c r="G23" s="91"/>
      <c r="H23" s="168">
        <v>100</v>
      </c>
      <c r="K23" s="62">
        <v>48898</v>
      </c>
      <c r="L23" s="181"/>
      <c r="M23" s="182"/>
      <c r="N23" s="163">
        <v>48898</v>
      </c>
      <c r="O23" s="180">
        <v>0.03875</v>
      </c>
      <c r="P23" s="181">
        <v>48898</v>
      </c>
      <c r="Q23" s="182">
        <v>0.045</v>
      </c>
      <c r="R23" s="163">
        <v>48898</v>
      </c>
      <c r="S23" s="173">
        <v>0.04875</v>
      </c>
      <c r="T23" s="163">
        <v>48898</v>
      </c>
      <c r="U23" s="164">
        <v>0.0475</v>
      </c>
    </row>
    <row r="24" spans="2:21" ht="15">
      <c r="B24" s="167">
        <v>44880</v>
      </c>
      <c r="C24" s="167">
        <v>45245</v>
      </c>
      <c r="D24" s="170">
        <v>0.006</v>
      </c>
      <c r="E24" s="91"/>
      <c r="F24" s="167">
        <v>47437</v>
      </c>
      <c r="G24" s="170">
        <v>0.09090909090909091</v>
      </c>
      <c r="H24" s="168">
        <f>+H23-G24*100</f>
        <v>90.9090909090909</v>
      </c>
      <c r="K24" s="62">
        <v>49079</v>
      </c>
      <c r="L24" s="181"/>
      <c r="M24" s="182"/>
      <c r="N24" s="163">
        <v>49079</v>
      </c>
      <c r="O24" s="180">
        <v>0.03875</v>
      </c>
      <c r="P24" s="181">
        <v>49079</v>
      </c>
      <c r="Q24" s="182">
        <v>0.045</v>
      </c>
      <c r="R24" s="163">
        <v>49079</v>
      </c>
      <c r="S24" s="173">
        <v>0.04875</v>
      </c>
      <c r="T24" s="163">
        <v>49079</v>
      </c>
      <c r="U24" s="164">
        <v>0.0475</v>
      </c>
    </row>
    <row r="25" spans="1:21" ht="15">
      <c r="A25" s="165"/>
      <c r="B25" s="167">
        <f>+C24</f>
        <v>45245</v>
      </c>
      <c r="C25" s="167">
        <v>45976</v>
      </c>
      <c r="D25" s="171">
        <v>0.0175</v>
      </c>
      <c r="E25" s="91"/>
      <c r="F25" s="167">
        <v>47802</v>
      </c>
      <c r="G25" s="170">
        <v>0.09090909090909091</v>
      </c>
      <c r="H25" s="168">
        <f aca="true" t="shared" si="1" ref="H25:H33">+H24-G25*100</f>
        <v>81.81818181818181</v>
      </c>
      <c r="K25" s="62">
        <v>49263</v>
      </c>
      <c r="L25" s="181"/>
      <c r="M25" s="182"/>
      <c r="N25" s="163">
        <v>49263</v>
      </c>
      <c r="O25" s="180">
        <v>0.03875</v>
      </c>
      <c r="P25" s="181">
        <v>49263</v>
      </c>
      <c r="Q25" s="182">
        <v>0.045</v>
      </c>
      <c r="R25" s="163">
        <v>49263</v>
      </c>
      <c r="S25" s="173">
        <v>0.04875</v>
      </c>
      <c r="T25" s="163">
        <v>49263</v>
      </c>
      <c r="U25" s="164">
        <v>0.0475</v>
      </c>
    </row>
    <row r="26" spans="1:21" ht="15.75">
      <c r="A26" s="169" t="s">
        <v>11</v>
      </c>
      <c r="B26" s="167">
        <f>+C25</f>
        <v>45976</v>
      </c>
      <c r="C26" s="167">
        <v>46706</v>
      </c>
      <c r="D26" s="170">
        <v>0.04</v>
      </c>
      <c r="E26" s="91"/>
      <c r="F26" s="167">
        <v>48167</v>
      </c>
      <c r="G26" s="170">
        <v>0.09090909090909091</v>
      </c>
      <c r="H26" s="168">
        <f t="shared" si="1"/>
        <v>72.72727272727272</v>
      </c>
      <c r="K26" s="62">
        <v>49444</v>
      </c>
      <c r="L26" s="181"/>
      <c r="M26" s="182"/>
      <c r="N26" s="163">
        <v>49444</v>
      </c>
      <c r="O26" s="180">
        <v>0.03875</v>
      </c>
      <c r="P26" s="181">
        <v>49444</v>
      </c>
      <c r="Q26" s="182">
        <v>0.045</v>
      </c>
      <c r="R26" s="163">
        <v>49444</v>
      </c>
      <c r="S26" s="173">
        <v>0.04875</v>
      </c>
      <c r="T26" s="163">
        <v>49444</v>
      </c>
      <c r="U26" s="164">
        <v>0.0475</v>
      </c>
    </row>
    <row r="27" spans="1:21" ht="15">
      <c r="A27" s="165"/>
      <c r="B27" s="167">
        <f>+C26</f>
        <v>46706</v>
      </c>
      <c r="C27" s="167">
        <v>51089</v>
      </c>
      <c r="D27" s="170">
        <v>0.045</v>
      </c>
      <c r="E27" s="91"/>
      <c r="F27" s="167">
        <v>48533</v>
      </c>
      <c r="G27" s="170">
        <v>0.09090909090909091</v>
      </c>
      <c r="H27" s="168">
        <f t="shared" si="1"/>
        <v>63.636363636363626</v>
      </c>
      <c r="K27" s="62">
        <v>49628</v>
      </c>
      <c r="L27" s="181"/>
      <c r="M27" s="182"/>
      <c r="N27" s="163">
        <v>49628</v>
      </c>
      <c r="O27" s="180">
        <v>0.03875</v>
      </c>
      <c r="P27" s="181">
        <v>49628</v>
      </c>
      <c r="Q27" s="182">
        <v>0.045</v>
      </c>
      <c r="R27" s="163">
        <v>49628</v>
      </c>
      <c r="S27" s="173">
        <v>0.04875</v>
      </c>
      <c r="T27" s="163">
        <v>49628</v>
      </c>
      <c r="U27" s="164">
        <v>0.0475</v>
      </c>
    </row>
    <row r="28" spans="2:21" ht="15">
      <c r="B28" s="91"/>
      <c r="C28" s="91"/>
      <c r="D28" s="91"/>
      <c r="E28" s="91"/>
      <c r="F28" s="167">
        <v>48898</v>
      </c>
      <c r="G28" s="170">
        <v>0.09090909090909091</v>
      </c>
      <c r="H28" s="168">
        <f t="shared" si="1"/>
        <v>54.54545454545453</v>
      </c>
      <c r="K28" s="62">
        <v>49810</v>
      </c>
      <c r="L28" s="181"/>
      <c r="M28" s="182"/>
      <c r="N28" s="163">
        <v>49810</v>
      </c>
      <c r="O28" s="180">
        <v>0.03875</v>
      </c>
      <c r="P28" s="181">
        <v>49810</v>
      </c>
      <c r="Q28" s="182">
        <v>0.045</v>
      </c>
      <c r="R28" s="163">
        <v>49810</v>
      </c>
      <c r="S28" s="173">
        <v>0.04875</v>
      </c>
      <c r="T28" s="163">
        <v>49810</v>
      </c>
      <c r="U28" s="164">
        <v>0.0475</v>
      </c>
    </row>
    <row r="29" spans="1:21" ht="15">
      <c r="A29" s="165"/>
      <c r="B29" s="91"/>
      <c r="C29" s="91"/>
      <c r="D29" s="91"/>
      <c r="E29" s="91"/>
      <c r="F29" s="167">
        <v>49263</v>
      </c>
      <c r="G29" s="170">
        <v>0.09090909090909091</v>
      </c>
      <c r="H29" s="168">
        <f>+H28-G29*100</f>
        <v>45.45454545454544</v>
      </c>
      <c r="K29" s="62">
        <v>49994</v>
      </c>
      <c r="L29" s="181"/>
      <c r="M29" s="182"/>
      <c r="N29" s="163">
        <v>49994</v>
      </c>
      <c r="O29" s="180">
        <v>0.03875</v>
      </c>
      <c r="P29" s="181">
        <v>49994</v>
      </c>
      <c r="Q29" s="182">
        <v>0.045</v>
      </c>
      <c r="R29" s="163">
        <v>49994</v>
      </c>
      <c r="S29" s="173">
        <v>0.04875</v>
      </c>
      <c r="T29" s="163">
        <v>49994</v>
      </c>
      <c r="U29" s="164">
        <v>0.0475</v>
      </c>
    </row>
    <row r="30" spans="1:21" ht="15">
      <c r="A30" s="165"/>
      <c r="B30" s="91"/>
      <c r="C30" s="91"/>
      <c r="D30" s="91"/>
      <c r="E30" s="91"/>
      <c r="F30" s="167">
        <v>49628</v>
      </c>
      <c r="G30" s="170">
        <v>0.09090909090909091</v>
      </c>
      <c r="H30" s="168">
        <f t="shared" si="1"/>
        <v>36.363636363636346</v>
      </c>
      <c r="K30" s="62">
        <v>50175</v>
      </c>
      <c r="L30" s="181"/>
      <c r="M30" s="182"/>
      <c r="N30" s="163"/>
      <c r="O30" s="182"/>
      <c r="P30" s="181">
        <v>50175</v>
      </c>
      <c r="Q30" s="182">
        <v>0.045</v>
      </c>
      <c r="R30" s="163">
        <v>50175</v>
      </c>
      <c r="S30" s="173">
        <v>0.04875</v>
      </c>
      <c r="T30" s="163">
        <v>50175</v>
      </c>
      <c r="U30" s="164">
        <v>0.0475</v>
      </c>
    </row>
    <row r="31" spans="1:21" ht="15">
      <c r="A31" s="165"/>
      <c r="B31" s="91"/>
      <c r="C31" s="91"/>
      <c r="D31" s="91"/>
      <c r="E31" s="91"/>
      <c r="F31" s="167">
        <v>49994</v>
      </c>
      <c r="G31" s="170">
        <v>0.09090909090909091</v>
      </c>
      <c r="H31" s="168">
        <f t="shared" si="1"/>
        <v>27.272727272727252</v>
      </c>
      <c r="K31" s="62">
        <v>50359</v>
      </c>
      <c r="L31" s="181"/>
      <c r="M31" s="182"/>
      <c r="N31" s="163"/>
      <c r="O31" s="182"/>
      <c r="P31" s="181">
        <v>50359</v>
      </c>
      <c r="Q31" s="182">
        <v>0.045</v>
      </c>
      <c r="R31" s="163">
        <v>50359</v>
      </c>
      <c r="S31" s="173">
        <v>0.04875</v>
      </c>
      <c r="T31" s="163">
        <v>50359</v>
      </c>
      <c r="U31" s="164">
        <v>0.0475</v>
      </c>
    </row>
    <row r="32" spans="1:21" ht="15">
      <c r="A32" s="165"/>
      <c r="B32" s="91"/>
      <c r="C32" s="91"/>
      <c r="D32" s="91"/>
      <c r="E32" s="91"/>
      <c r="F32" s="167">
        <v>50359</v>
      </c>
      <c r="G32" s="170">
        <v>0.09090909090909091</v>
      </c>
      <c r="H32" s="168">
        <f t="shared" si="1"/>
        <v>18.18181818181816</v>
      </c>
      <c r="K32" s="62">
        <v>50540</v>
      </c>
      <c r="L32" s="181"/>
      <c r="M32" s="182"/>
      <c r="N32" s="163"/>
      <c r="O32" s="182"/>
      <c r="P32" s="181">
        <v>50540</v>
      </c>
      <c r="Q32" s="182">
        <v>0.045</v>
      </c>
      <c r="R32" s="163">
        <v>50540</v>
      </c>
      <c r="S32" s="173">
        <v>0.04875</v>
      </c>
      <c r="T32" s="163">
        <v>50540</v>
      </c>
      <c r="U32" s="164">
        <v>0.0475</v>
      </c>
    </row>
    <row r="33" spans="1:21" ht="15">
      <c r="A33" s="165"/>
      <c r="B33" s="91"/>
      <c r="C33" s="91"/>
      <c r="D33" s="91"/>
      <c r="E33" s="91"/>
      <c r="F33" s="167">
        <v>50724</v>
      </c>
      <c r="G33" s="170">
        <v>0.09090909090909091</v>
      </c>
      <c r="H33" s="168">
        <f t="shared" si="1"/>
        <v>9.090909090909067</v>
      </c>
      <c r="K33" s="62">
        <v>50724</v>
      </c>
      <c r="L33" s="181"/>
      <c r="M33" s="182"/>
      <c r="N33" s="163"/>
      <c r="O33" s="182"/>
      <c r="P33" s="181">
        <v>50724</v>
      </c>
      <c r="Q33" s="182">
        <v>0.045</v>
      </c>
      <c r="R33" s="163">
        <v>50724</v>
      </c>
      <c r="S33" s="173">
        <v>0.04875</v>
      </c>
      <c r="T33" s="163">
        <v>50724</v>
      </c>
      <c r="U33" s="164">
        <v>0.0475</v>
      </c>
    </row>
    <row r="34" spans="1:21" ht="15.75" thickBot="1">
      <c r="A34" s="174"/>
      <c r="B34" s="175"/>
      <c r="C34" s="175"/>
      <c r="D34" s="175"/>
      <c r="E34" s="175"/>
      <c r="F34" s="176">
        <v>51089</v>
      </c>
      <c r="G34" s="183">
        <v>0.09090909090909091</v>
      </c>
      <c r="H34" s="178">
        <f>+H33-G34*100</f>
        <v>-2.4868995751603507E-14</v>
      </c>
      <c r="K34" s="62">
        <v>50905</v>
      </c>
      <c r="L34" s="181"/>
      <c r="M34" s="182"/>
      <c r="N34" s="163"/>
      <c r="O34" s="182"/>
      <c r="P34" s="181">
        <v>50905</v>
      </c>
      <c r="Q34" s="182">
        <v>0.045</v>
      </c>
      <c r="R34" s="163">
        <v>50905</v>
      </c>
      <c r="S34" s="173">
        <v>0.04875</v>
      </c>
      <c r="T34" s="163">
        <v>50905</v>
      </c>
      <c r="U34" s="164">
        <v>0.0475</v>
      </c>
    </row>
    <row r="35" spans="11:21" ht="15.75" thickBot="1">
      <c r="K35" s="62">
        <v>51089</v>
      </c>
      <c r="L35" s="181"/>
      <c r="M35" s="182"/>
      <c r="N35" s="163"/>
      <c r="O35" s="182"/>
      <c r="P35" s="181">
        <v>51089</v>
      </c>
      <c r="Q35" s="182">
        <v>0.045</v>
      </c>
      <c r="R35" s="163">
        <v>51089</v>
      </c>
      <c r="S35" s="173">
        <v>0.04875</v>
      </c>
      <c r="T35" s="163">
        <v>51089</v>
      </c>
      <c r="U35" s="164">
        <v>0.0475</v>
      </c>
    </row>
    <row r="36" spans="1:21" ht="15">
      <c r="A36" s="161"/>
      <c r="B36" s="272" t="s">
        <v>5</v>
      </c>
      <c r="C36" s="272"/>
      <c r="D36" s="184"/>
      <c r="E36" s="184"/>
      <c r="F36" s="184"/>
      <c r="G36" s="272" t="s">
        <v>4</v>
      </c>
      <c r="H36" s="273"/>
      <c r="K36" s="62">
        <v>51271</v>
      </c>
      <c r="L36" s="181"/>
      <c r="M36" s="182"/>
      <c r="N36" s="163"/>
      <c r="O36" s="182"/>
      <c r="P36" s="181"/>
      <c r="Q36" s="182"/>
      <c r="R36" s="163">
        <v>51271</v>
      </c>
      <c r="S36" s="173">
        <v>0.04875</v>
      </c>
      <c r="T36" s="163">
        <v>51271</v>
      </c>
      <c r="U36" s="164">
        <v>0.0475</v>
      </c>
    </row>
    <row r="37" spans="1:21" ht="15">
      <c r="A37" s="165"/>
      <c r="B37" s="91" t="s">
        <v>0</v>
      </c>
      <c r="C37" s="91" t="s">
        <v>2</v>
      </c>
      <c r="D37" s="91"/>
      <c r="E37" s="91"/>
      <c r="F37" s="91"/>
      <c r="G37" s="91" t="s">
        <v>7</v>
      </c>
      <c r="H37" s="166" t="s">
        <v>6</v>
      </c>
      <c r="K37" s="62">
        <v>51455</v>
      </c>
      <c r="L37" s="181"/>
      <c r="M37" s="182"/>
      <c r="N37" s="163"/>
      <c r="O37" s="182"/>
      <c r="P37" s="181"/>
      <c r="Q37" s="182"/>
      <c r="R37" s="163">
        <v>51455</v>
      </c>
      <c r="S37" s="173">
        <v>0.04875</v>
      </c>
      <c r="T37" s="163">
        <v>51455</v>
      </c>
      <c r="U37" s="164">
        <v>0.0475</v>
      </c>
    </row>
    <row r="38" spans="1:21" ht="15">
      <c r="A38" s="165"/>
      <c r="B38" s="91" t="s">
        <v>1</v>
      </c>
      <c r="C38" s="91" t="s">
        <v>3</v>
      </c>
      <c r="D38" s="91"/>
      <c r="E38" s="91"/>
      <c r="F38" s="167">
        <v>44150</v>
      </c>
      <c r="G38" s="91"/>
      <c r="H38" s="168">
        <v>100</v>
      </c>
      <c r="K38" s="62">
        <v>51636</v>
      </c>
      <c r="L38" s="181"/>
      <c r="M38" s="182"/>
      <c r="N38" s="163"/>
      <c r="O38" s="182"/>
      <c r="P38" s="181"/>
      <c r="Q38" s="182"/>
      <c r="R38" s="163">
        <v>51636</v>
      </c>
      <c r="S38" s="173">
        <v>0.04875</v>
      </c>
      <c r="T38" s="163">
        <v>51636</v>
      </c>
      <c r="U38" s="164">
        <v>0.0475</v>
      </c>
    </row>
    <row r="39" spans="2:21" ht="15">
      <c r="B39" s="167">
        <v>44880</v>
      </c>
      <c r="C39" s="167">
        <v>45245</v>
      </c>
      <c r="D39" s="170">
        <v>0.006</v>
      </c>
      <c r="E39" s="91"/>
      <c r="F39" s="167">
        <v>47802</v>
      </c>
      <c r="G39" s="170">
        <v>0.07142857142857144</v>
      </c>
      <c r="H39" s="168">
        <f>+H38-G39*100</f>
        <v>92.85714285714286</v>
      </c>
      <c r="K39" s="62">
        <v>51820</v>
      </c>
      <c r="L39" s="181"/>
      <c r="M39" s="182"/>
      <c r="N39" s="163"/>
      <c r="O39" s="182"/>
      <c r="P39" s="181"/>
      <c r="Q39" s="182"/>
      <c r="R39" s="163">
        <v>51820</v>
      </c>
      <c r="S39" s="173">
        <v>0.04875</v>
      </c>
      <c r="T39" s="163">
        <v>51820</v>
      </c>
      <c r="U39" s="164">
        <v>0.0475</v>
      </c>
    </row>
    <row r="40" spans="1:21" ht="15">
      <c r="A40" s="165"/>
      <c r="B40" s="167">
        <f>+C39</f>
        <v>45245</v>
      </c>
      <c r="C40" s="167">
        <v>45976</v>
      </c>
      <c r="D40" s="171">
        <v>0.03</v>
      </c>
      <c r="E40" s="91"/>
      <c r="F40" s="167">
        <v>48167</v>
      </c>
      <c r="G40" s="170">
        <v>0.07142857142857144</v>
      </c>
      <c r="H40" s="168">
        <f aca="true" t="shared" si="2" ref="H40:H52">+H39-G40*100</f>
        <v>85.71428571428572</v>
      </c>
      <c r="K40" s="62">
        <v>52001</v>
      </c>
      <c r="L40" s="181"/>
      <c r="M40" s="182"/>
      <c r="N40" s="163"/>
      <c r="O40" s="182"/>
      <c r="P40" s="181"/>
      <c r="Q40" s="182"/>
      <c r="R40" s="163">
        <v>52001</v>
      </c>
      <c r="S40" s="173">
        <v>0.04875</v>
      </c>
      <c r="T40" s="163">
        <v>52001</v>
      </c>
      <c r="U40" s="164">
        <v>0.0475</v>
      </c>
    </row>
    <row r="41" spans="1:21" ht="15.75">
      <c r="A41" s="169" t="s">
        <v>10</v>
      </c>
      <c r="B41" s="167">
        <f>+C40</f>
        <v>45976</v>
      </c>
      <c r="C41" s="167">
        <v>47437</v>
      </c>
      <c r="D41" s="179">
        <v>0.03625</v>
      </c>
      <c r="E41" s="91"/>
      <c r="F41" s="167">
        <v>48533</v>
      </c>
      <c r="G41" s="170">
        <v>0.07142857142857144</v>
      </c>
      <c r="H41" s="168">
        <f t="shared" si="2"/>
        <v>78.57142857142858</v>
      </c>
      <c r="K41" s="62">
        <v>52185</v>
      </c>
      <c r="L41" s="181"/>
      <c r="M41" s="182"/>
      <c r="N41" s="163"/>
      <c r="O41" s="182"/>
      <c r="P41" s="181"/>
      <c r="Q41" s="182"/>
      <c r="R41" s="163">
        <v>52185</v>
      </c>
      <c r="S41" s="173">
        <v>0.04875</v>
      </c>
      <c r="T41" s="163">
        <v>52185</v>
      </c>
      <c r="U41" s="164">
        <v>0.0475</v>
      </c>
    </row>
    <row r="42" spans="1:21" ht="15">
      <c r="A42" s="165"/>
      <c r="B42" s="167">
        <f>+C41</f>
        <v>47437</v>
      </c>
      <c r="C42" s="167">
        <v>52550</v>
      </c>
      <c r="D42" s="179">
        <v>0.04875</v>
      </c>
      <c r="E42" s="91"/>
      <c r="F42" s="167">
        <v>48898</v>
      </c>
      <c r="G42" s="170">
        <v>0.07142857142857144</v>
      </c>
      <c r="H42" s="168">
        <f t="shared" si="2"/>
        <v>71.42857142857144</v>
      </c>
      <c r="K42" s="62">
        <v>52366</v>
      </c>
      <c r="L42" s="181"/>
      <c r="M42" s="182"/>
      <c r="N42" s="163"/>
      <c r="O42" s="182"/>
      <c r="P42" s="181"/>
      <c r="Q42" s="182"/>
      <c r="R42" s="163">
        <v>52366</v>
      </c>
      <c r="S42" s="173">
        <v>0.04875</v>
      </c>
      <c r="T42" s="163">
        <v>52366</v>
      </c>
      <c r="U42" s="164">
        <v>0.0475</v>
      </c>
    </row>
    <row r="43" spans="2:21" ht="15">
      <c r="B43" s="91"/>
      <c r="C43" s="91"/>
      <c r="D43" s="91"/>
      <c r="E43" s="91"/>
      <c r="F43" s="167">
        <v>49263</v>
      </c>
      <c r="G43" s="170">
        <v>0.07142857142857144</v>
      </c>
      <c r="H43" s="168">
        <f t="shared" si="2"/>
        <v>64.2857142857143</v>
      </c>
      <c r="K43" s="62">
        <v>52550</v>
      </c>
      <c r="L43" s="181"/>
      <c r="M43" s="182"/>
      <c r="N43" s="163"/>
      <c r="O43" s="182"/>
      <c r="P43" s="181"/>
      <c r="Q43" s="182"/>
      <c r="R43" s="163">
        <v>52550</v>
      </c>
      <c r="S43" s="173">
        <v>0.04875</v>
      </c>
      <c r="T43" s="163">
        <v>52550</v>
      </c>
      <c r="U43" s="164">
        <v>0.0475</v>
      </c>
    </row>
    <row r="44" spans="1:21" ht="15">
      <c r="A44" s="165"/>
      <c r="B44" s="91"/>
      <c r="C44" s="91"/>
      <c r="D44" s="91"/>
      <c r="E44" s="91"/>
      <c r="F44" s="167">
        <v>49628</v>
      </c>
      <c r="G44" s="170">
        <v>0.07142857142857144</v>
      </c>
      <c r="H44" s="168">
        <f t="shared" si="2"/>
        <v>57.14285714285716</v>
      </c>
      <c r="K44" s="62">
        <v>52732</v>
      </c>
      <c r="L44" s="181"/>
      <c r="M44" s="182"/>
      <c r="N44" s="163"/>
      <c r="O44" s="182"/>
      <c r="P44" s="181"/>
      <c r="Q44" s="182"/>
      <c r="R44" s="181"/>
      <c r="S44" s="182"/>
      <c r="T44" s="163">
        <v>52732</v>
      </c>
      <c r="U44" s="164">
        <v>0.0475</v>
      </c>
    </row>
    <row r="45" spans="1:21" ht="15">
      <c r="A45" s="165"/>
      <c r="B45" s="91"/>
      <c r="C45" s="91"/>
      <c r="D45" s="91"/>
      <c r="E45" s="91"/>
      <c r="F45" s="167">
        <v>49994</v>
      </c>
      <c r="G45" s="170">
        <v>0.07142857142857144</v>
      </c>
      <c r="H45" s="168">
        <f t="shared" si="2"/>
        <v>50.000000000000014</v>
      </c>
      <c r="K45" s="62">
        <v>52916</v>
      </c>
      <c r="L45" s="181"/>
      <c r="M45" s="182"/>
      <c r="N45" s="163"/>
      <c r="O45" s="182"/>
      <c r="P45" s="181"/>
      <c r="Q45" s="182"/>
      <c r="R45" s="181"/>
      <c r="S45" s="182"/>
      <c r="T45" s="163">
        <v>52916</v>
      </c>
      <c r="U45" s="164">
        <v>0.0475</v>
      </c>
    </row>
    <row r="46" spans="1:21" ht="15">
      <c r="A46" s="165"/>
      <c r="B46" s="91"/>
      <c r="C46" s="91"/>
      <c r="D46" s="91"/>
      <c r="E46" s="91"/>
      <c r="F46" s="167">
        <v>50359</v>
      </c>
      <c r="G46" s="170">
        <v>0.07142857142857144</v>
      </c>
      <c r="H46" s="168">
        <f t="shared" si="2"/>
        <v>42.85714285714287</v>
      </c>
      <c r="K46" s="62">
        <v>53097</v>
      </c>
      <c r="L46" s="181"/>
      <c r="M46" s="182"/>
      <c r="N46" s="163"/>
      <c r="O46" s="182"/>
      <c r="P46" s="181"/>
      <c r="Q46" s="182"/>
      <c r="R46" s="181"/>
      <c r="S46" s="182"/>
      <c r="T46" s="163">
        <v>53097</v>
      </c>
      <c r="U46" s="164">
        <v>0.0475</v>
      </c>
    </row>
    <row r="47" spans="1:21" ht="15">
      <c r="A47" s="165"/>
      <c r="B47" s="91"/>
      <c r="C47" s="91"/>
      <c r="D47" s="91"/>
      <c r="E47" s="91"/>
      <c r="F47" s="167">
        <v>50724</v>
      </c>
      <c r="G47" s="170">
        <v>0.07142857142857144</v>
      </c>
      <c r="H47" s="168">
        <f t="shared" si="2"/>
        <v>35.71428571428572</v>
      </c>
      <c r="K47" s="62">
        <v>53281</v>
      </c>
      <c r="L47" s="181"/>
      <c r="M47" s="182"/>
      <c r="N47" s="163"/>
      <c r="O47" s="182"/>
      <c r="P47" s="181"/>
      <c r="Q47" s="182"/>
      <c r="R47" s="181"/>
      <c r="S47" s="182"/>
      <c r="T47" s="163">
        <v>53281</v>
      </c>
      <c r="U47" s="164">
        <v>0.0475</v>
      </c>
    </row>
    <row r="48" spans="1:21" ht="15">
      <c r="A48" s="165"/>
      <c r="B48" s="91"/>
      <c r="C48" s="91"/>
      <c r="D48" s="91"/>
      <c r="E48" s="91"/>
      <c r="F48" s="167">
        <v>51089</v>
      </c>
      <c r="G48" s="170">
        <v>0.07142857142857144</v>
      </c>
      <c r="H48" s="168">
        <f t="shared" si="2"/>
        <v>28.571428571428577</v>
      </c>
      <c r="K48" s="62">
        <v>53462</v>
      </c>
      <c r="L48" s="181"/>
      <c r="M48" s="182"/>
      <c r="N48" s="163"/>
      <c r="O48" s="182"/>
      <c r="P48" s="181"/>
      <c r="Q48" s="182"/>
      <c r="R48" s="181"/>
      <c r="S48" s="182"/>
      <c r="T48" s="163">
        <v>53462</v>
      </c>
      <c r="U48" s="164">
        <v>0.0475</v>
      </c>
    </row>
    <row r="49" spans="1:21" ht="15">
      <c r="A49" s="165"/>
      <c r="B49" s="91"/>
      <c r="C49" s="91"/>
      <c r="D49" s="91"/>
      <c r="E49" s="91"/>
      <c r="F49" s="167">
        <v>51455</v>
      </c>
      <c r="G49" s="170">
        <v>0.07142857142857144</v>
      </c>
      <c r="H49" s="168">
        <f t="shared" si="2"/>
        <v>21.42857142857143</v>
      </c>
      <c r="K49" s="62">
        <v>53646</v>
      </c>
      <c r="L49" s="181"/>
      <c r="M49" s="182"/>
      <c r="N49" s="163"/>
      <c r="O49" s="182"/>
      <c r="P49" s="181"/>
      <c r="Q49" s="182"/>
      <c r="R49" s="181"/>
      <c r="S49" s="182"/>
      <c r="T49" s="163">
        <v>53646</v>
      </c>
      <c r="U49" s="164">
        <v>0.0475</v>
      </c>
    </row>
    <row r="50" spans="1:21" ht="15">
      <c r="A50" s="165"/>
      <c r="B50" s="91"/>
      <c r="C50" s="91"/>
      <c r="D50" s="91"/>
      <c r="E50" s="91"/>
      <c r="F50" s="167">
        <v>51820</v>
      </c>
      <c r="G50" s="170">
        <v>0.07142857142857144</v>
      </c>
      <c r="H50" s="168">
        <f t="shared" si="2"/>
        <v>14.285714285714286</v>
      </c>
      <c r="K50" s="62">
        <v>53827</v>
      </c>
      <c r="L50" s="181"/>
      <c r="M50" s="182"/>
      <c r="N50" s="163"/>
      <c r="O50" s="182"/>
      <c r="P50" s="181"/>
      <c r="Q50" s="182"/>
      <c r="R50" s="181"/>
      <c r="S50" s="182"/>
      <c r="T50" s="163">
        <v>53827</v>
      </c>
      <c r="U50" s="164">
        <v>0.0475</v>
      </c>
    </row>
    <row r="51" spans="1:21" ht="15.75" thickBot="1">
      <c r="A51" s="165"/>
      <c r="B51" s="91"/>
      <c r="C51" s="91"/>
      <c r="D51" s="91"/>
      <c r="E51" s="91"/>
      <c r="F51" s="167">
        <v>52185</v>
      </c>
      <c r="G51" s="170">
        <v>0.07142857142857144</v>
      </c>
      <c r="H51" s="168">
        <f t="shared" si="2"/>
        <v>7.142857142857142</v>
      </c>
      <c r="K51" s="62">
        <v>54011</v>
      </c>
      <c r="L51" s="185"/>
      <c r="M51" s="186"/>
      <c r="N51" s="187"/>
      <c r="O51" s="186"/>
      <c r="P51" s="185"/>
      <c r="Q51" s="186"/>
      <c r="R51" s="185"/>
      <c r="S51" s="186"/>
      <c r="T51" s="187">
        <v>54011</v>
      </c>
      <c r="U51" s="188">
        <v>0.0475</v>
      </c>
    </row>
    <row r="52" spans="1:8" ht="15.75" thickBot="1">
      <c r="A52" s="174"/>
      <c r="B52" s="175"/>
      <c r="C52" s="175"/>
      <c r="D52" s="175"/>
      <c r="E52" s="175"/>
      <c r="F52" s="176">
        <v>52550</v>
      </c>
      <c r="G52" s="183">
        <v>0.0714285714285714</v>
      </c>
      <c r="H52" s="178">
        <f t="shared" si="2"/>
        <v>0</v>
      </c>
    </row>
    <row r="53" ht="15.75" thickBot="1"/>
    <row r="54" spans="1:8" ht="15">
      <c r="A54" s="161"/>
      <c r="B54" s="272" t="s">
        <v>5</v>
      </c>
      <c r="C54" s="272"/>
      <c r="D54" s="184"/>
      <c r="E54" s="184"/>
      <c r="F54" s="184"/>
      <c r="G54" s="272" t="s">
        <v>4</v>
      </c>
      <c r="H54" s="273"/>
    </row>
    <row r="55" spans="1:8" ht="15">
      <c r="A55" s="165"/>
      <c r="B55" s="91" t="s">
        <v>0</v>
      </c>
      <c r="C55" s="91" t="s">
        <v>2</v>
      </c>
      <c r="D55" s="91"/>
      <c r="E55" s="91"/>
      <c r="F55" s="91"/>
      <c r="G55" s="91" t="s">
        <v>7</v>
      </c>
      <c r="H55" s="166" t="s">
        <v>6</v>
      </c>
    </row>
    <row r="56" spans="1:8" ht="15">
      <c r="A56" s="165"/>
      <c r="B56" s="91" t="s">
        <v>1</v>
      </c>
      <c r="C56" s="91" t="s">
        <v>3</v>
      </c>
      <c r="D56" s="91"/>
      <c r="E56" s="91"/>
      <c r="F56" s="167">
        <v>44150</v>
      </c>
      <c r="G56" s="91"/>
      <c r="H56" s="168">
        <v>100</v>
      </c>
    </row>
    <row r="57" spans="2:8" ht="15">
      <c r="B57" s="167">
        <v>44880</v>
      </c>
      <c r="C57" s="167">
        <v>45245</v>
      </c>
      <c r="D57" s="170">
        <v>0.005</v>
      </c>
      <c r="E57" s="91"/>
      <c r="F57" s="167">
        <v>47072</v>
      </c>
      <c r="G57" s="170">
        <v>0.05</v>
      </c>
      <c r="H57" s="168">
        <f>+H56-G57*100</f>
        <v>95</v>
      </c>
    </row>
    <row r="58" spans="1:8" ht="15">
      <c r="A58" s="165"/>
      <c r="B58" s="167">
        <f>+C57</f>
        <v>45245</v>
      </c>
      <c r="C58" s="167">
        <v>45976</v>
      </c>
      <c r="D58" s="170">
        <v>0.0175</v>
      </c>
      <c r="E58" s="91"/>
      <c r="F58" s="167">
        <v>47437</v>
      </c>
      <c r="G58" s="170">
        <v>0.05</v>
      </c>
      <c r="H58" s="168">
        <f aca="true" t="shared" si="3" ref="H58:H76">+H57-G58*100</f>
        <v>90</v>
      </c>
    </row>
    <row r="59" spans="1:8" ht="15.75">
      <c r="A59" s="169" t="s">
        <v>12</v>
      </c>
      <c r="B59" s="167">
        <f>+C58</f>
        <v>45976</v>
      </c>
      <c r="C59" s="167">
        <v>46706</v>
      </c>
      <c r="D59" s="170">
        <v>0.0375</v>
      </c>
      <c r="E59" s="91"/>
      <c r="F59" s="167">
        <v>47802</v>
      </c>
      <c r="G59" s="170">
        <v>0.05</v>
      </c>
      <c r="H59" s="168">
        <f t="shared" si="3"/>
        <v>85</v>
      </c>
    </row>
    <row r="60" spans="1:8" ht="15">
      <c r="A60" s="165"/>
      <c r="B60" s="167">
        <f>+C59</f>
        <v>46706</v>
      </c>
      <c r="C60" s="167">
        <v>54011</v>
      </c>
      <c r="D60" s="170">
        <v>0.0475</v>
      </c>
      <c r="E60" s="91"/>
      <c r="F60" s="167">
        <v>48167</v>
      </c>
      <c r="G60" s="170">
        <v>0.05</v>
      </c>
      <c r="H60" s="168">
        <f t="shared" si="3"/>
        <v>80</v>
      </c>
    </row>
    <row r="61" spans="2:8" ht="15">
      <c r="B61" s="91"/>
      <c r="C61" s="91"/>
      <c r="D61" s="91"/>
      <c r="E61" s="91"/>
      <c r="F61" s="167">
        <v>48533</v>
      </c>
      <c r="G61" s="170">
        <v>0.05</v>
      </c>
      <c r="H61" s="168">
        <f t="shared" si="3"/>
        <v>75</v>
      </c>
    </row>
    <row r="62" spans="1:8" ht="15">
      <c r="A62" s="165"/>
      <c r="B62" s="91"/>
      <c r="C62" s="91"/>
      <c r="D62" s="91"/>
      <c r="E62" s="91"/>
      <c r="F62" s="167">
        <v>48898</v>
      </c>
      <c r="G62" s="170">
        <v>0.05</v>
      </c>
      <c r="H62" s="168">
        <f t="shared" si="3"/>
        <v>70</v>
      </c>
    </row>
    <row r="63" spans="1:8" ht="15">
      <c r="A63" s="165"/>
      <c r="B63" s="91"/>
      <c r="C63" s="91"/>
      <c r="D63" s="91"/>
      <c r="E63" s="91"/>
      <c r="F63" s="167">
        <v>49263</v>
      </c>
      <c r="G63" s="170">
        <v>0.05</v>
      </c>
      <c r="H63" s="168">
        <f t="shared" si="3"/>
        <v>65</v>
      </c>
    </row>
    <row r="64" spans="1:8" ht="15">
      <c r="A64" s="165"/>
      <c r="B64" s="91"/>
      <c r="C64" s="91"/>
      <c r="D64" s="91"/>
      <c r="E64" s="91"/>
      <c r="F64" s="167">
        <v>49628</v>
      </c>
      <c r="G64" s="170">
        <v>0.05</v>
      </c>
      <c r="H64" s="168">
        <f t="shared" si="3"/>
        <v>60</v>
      </c>
    </row>
    <row r="65" spans="1:8" ht="15">
      <c r="A65" s="165"/>
      <c r="B65" s="91"/>
      <c r="C65" s="91"/>
      <c r="D65" s="91"/>
      <c r="E65" s="91"/>
      <c r="F65" s="167">
        <v>49994</v>
      </c>
      <c r="G65" s="170">
        <v>0.05</v>
      </c>
      <c r="H65" s="168">
        <f t="shared" si="3"/>
        <v>55</v>
      </c>
    </row>
    <row r="66" spans="1:8" ht="15">
      <c r="A66" s="165"/>
      <c r="B66" s="91"/>
      <c r="C66" s="91"/>
      <c r="D66" s="91"/>
      <c r="E66" s="91"/>
      <c r="F66" s="167">
        <v>50359</v>
      </c>
      <c r="G66" s="170">
        <v>0.05</v>
      </c>
      <c r="H66" s="168">
        <f t="shared" si="3"/>
        <v>50</v>
      </c>
    </row>
    <row r="67" spans="1:8" ht="15">
      <c r="A67" s="165"/>
      <c r="B67" s="91"/>
      <c r="C67" s="91"/>
      <c r="D67" s="91"/>
      <c r="E67" s="91"/>
      <c r="F67" s="167">
        <v>50724</v>
      </c>
      <c r="G67" s="170">
        <v>0.05</v>
      </c>
      <c r="H67" s="168">
        <f t="shared" si="3"/>
        <v>45</v>
      </c>
    </row>
    <row r="68" spans="1:8" ht="15">
      <c r="A68" s="165"/>
      <c r="B68" s="91"/>
      <c r="C68" s="91"/>
      <c r="D68" s="91"/>
      <c r="E68" s="91"/>
      <c r="F68" s="167">
        <v>51089</v>
      </c>
      <c r="G68" s="170">
        <v>0.05</v>
      </c>
      <c r="H68" s="168">
        <f t="shared" si="3"/>
        <v>40</v>
      </c>
    </row>
    <row r="69" spans="1:8" ht="15">
      <c r="A69" s="165"/>
      <c r="B69" s="91"/>
      <c r="C69" s="91"/>
      <c r="D69" s="91"/>
      <c r="E69" s="91"/>
      <c r="F69" s="167">
        <v>51455</v>
      </c>
      <c r="G69" s="170">
        <v>0.05</v>
      </c>
      <c r="H69" s="168">
        <f t="shared" si="3"/>
        <v>35</v>
      </c>
    </row>
    <row r="70" spans="1:8" ht="15">
      <c r="A70" s="165"/>
      <c r="B70" s="91"/>
      <c r="C70" s="91"/>
      <c r="D70" s="91"/>
      <c r="E70" s="91"/>
      <c r="F70" s="167">
        <v>51820</v>
      </c>
      <c r="G70" s="170">
        <v>0.05</v>
      </c>
      <c r="H70" s="168">
        <f t="shared" si="3"/>
        <v>30</v>
      </c>
    </row>
    <row r="71" spans="1:8" ht="15">
      <c r="A71" s="165"/>
      <c r="B71" s="91"/>
      <c r="C71" s="91"/>
      <c r="D71" s="91"/>
      <c r="E71" s="91"/>
      <c r="F71" s="167">
        <v>52185</v>
      </c>
      <c r="G71" s="170">
        <v>0.05</v>
      </c>
      <c r="H71" s="168">
        <f t="shared" si="3"/>
        <v>25</v>
      </c>
    </row>
    <row r="72" spans="1:8" ht="15">
      <c r="A72" s="165"/>
      <c r="B72" s="91"/>
      <c r="C72" s="91"/>
      <c r="D72" s="91"/>
      <c r="E72" s="91"/>
      <c r="F72" s="167">
        <v>52550</v>
      </c>
      <c r="G72" s="170">
        <v>0.05</v>
      </c>
      <c r="H72" s="168">
        <f t="shared" si="3"/>
        <v>20</v>
      </c>
    </row>
    <row r="73" spans="1:8" ht="15">
      <c r="A73" s="165"/>
      <c r="B73" s="91"/>
      <c r="C73" s="91"/>
      <c r="D73" s="91"/>
      <c r="E73" s="91"/>
      <c r="F73" s="167">
        <v>52916</v>
      </c>
      <c r="G73" s="170">
        <v>0.05</v>
      </c>
      <c r="H73" s="168">
        <f t="shared" si="3"/>
        <v>15</v>
      </c>
    </row>
    <row r="74" spans="1:8" ht="15">
      <c r="A74" s="165"/>
      <c r="B74" s="91"/>
      <c r="C74" s="91"/>
      <c r="D74" s="91"/>
      <c r="E74" s="91"/>
      <c r="F74" s="167">
        <v>53281</v>
      </c>
      <c r="G74" s="170">
        <v>0.05</v>
      </c>
      <c r="H74" s="168">
        <f t="shared" si="3"/>
        <v>10</v>
      </c>
    </row>
    <row r="75" spans="1:8" ht="15">
      <c r="A75" s="165"/>
      <c r="B75" s="91"/>
      <c r="C75" s="91"/>
      <c r="D75" s="91"/>
      <c r="E75" s="91"/>
      <c r="F75" s="167">
        <v>53646</v>
      </c>
      <c r="G75" s="170">
        <v>0.05</v>
      </c>
      <c r="H75" s="168">
        <f t="shared" si="3"/>
        <v>5</v>
      </c>
    </row>
    <row r="76" spans="1:8" ht="15.75" thickBot="1">
      <c r="A76" s="174"/>
      <c r="B76" s="175"/>
      <c r="C76" s="175"/>
      <c r="D76" s="175"/>
      <c r="E76" s="175"/>
      <c r="F76" s="176">
        <v>54011</v>
      </c>
      <c r="G76" s="183">
        <v>0.05</v>
      </c>
      <c r="H76" s="178">
        <f t="shared" si="3"/>
        <v>0</v>
      </c>
    </row>
  </sheetData>
  <sheetProtection sheet="1" objects="1" scenarios="1"/>
  <mergeCells count="10">
    <mergeCell ref="B36:C36"/>
    <mergeCell ref="G36:H36"/>
    <mergeCell ref="B54:C54"/>
    <mergeCell ref="G54:H54"/>
    <mergeCell ref="B2:C2"/>
    <mergeCell ref="G2:H2"/>
    <mergeCell ref="B11:C11"/>
    <mergeCell ref="G11:H11"/>
    <mergeCell ref="B21:C21"/>
    <mergeCell ref="G21:H2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J97"/>
  <sheetViews>
    <sheetView zoomScalePageLayoutView="0" workbookViewId="0" topLeftCell="A1">
      <selection activeCell="AM41" sqref="AM41"/>
    </sheetView>
  </sheetViews>
  <sheetFormatPr defaultColWidth="9.140625" defaultRowHeight="15"/>
  <cols>
    <col min="1" max="1" width="6.00390625" style="4" bestFit="1" customWidth="1"/>
    <col min="2" max="2" width="9.8515625" style="0" customWidth="1"/>
    <col min="3" max="3" width="14.421875" style="0" bestFit="1" customWidth="1"/>
    <col min="4" max="8" width="9.140625" style="0" customWidth="1"/>
    <col min="9" max="9" width="0" style="0" hidden="1" customWidth="1"/>
    <col min="10" max="10" width="10.00390625" style="0" hidden="1" customWidth="1"/>
    <col min="11" max="11" width="13.421875" style="0" hidden="1" customWidth="1"/>
    <col min="12" max="12" width="9.140625" style="0" customWidth="1"/>
    <col min="13" max="16" width="0" style="0" hidden="1" customWidth="1"/>
    <col min="17" max="18" width="11.421875" style="0" hidden="1" customWidth="1"/>
    <col min="19" max="19" width="14.421875" style="0" hidden="1" customWidth="1"/>
    <col min="20" max="27" width="11.421875" style="0" hidden="1" customWidth="1"/>
    <col min="28" max="28" width="8.00390625" style="0" hidden="1" customWidth="1"/>
    <col min="29" max="29" width="0" style="0" hidden="1" customWidth="1"/>
    <col min="30" max="30" width="24.7109375" style="0" hidden="1" customWidth="1"/>
    <col min="31" max="31" width="5.28125" style="0" hidden="1" customWidth="1"/>
    <col min="32" max="32" width="15.7109375" style="0" hidden="1" customWidth="1"/>
    <col min="33" max="36" width="5.57421875" style="0" hidden="1" customWidth="1"/>
  </cols>
  <sheetData>
    <row r="1" ht="15.75">
      <c r="B1" s="2" t="s">
        <v>26</v>
      </c>
    </row>
    <row r="2" spans="17:27" ht="15.75" hidden="1" thickBot="1">
      <c r="Q2" s="15" t="s">
        <v>35</v>
      </c>
      <c r="R2" s="15" t="s">
        <v>36</v>
      </c>
      <c r="S2" s="274" t="s">
        <v>37</v>
      </c>
      <c r="T2" s="274"/>
      <c r="U2" s="274"/>
      <c r="V2" s="274" t="s">
        <v>38</v>
      </c>
      <c r="W2" s="274"/>
      <c r="X2" s="274"/>
      <c r="Y2" s="274" t="s">
        <v>39</v>
      </c>
      <c r="Z2" s="274"/>
      <c r="AA2" s="274"/>
    </row>
    <row r="3" spans="2:27" ht="15.75" hidden="1" thickBot="1">
      <c r="B3" s="23" t="s">
        <v>135</v>
      </c>
      <c r="C3" s="24" t="s">
        <v>25</v>
      </c>
      <c r="D3" s="24">
        <v>2030</v>
      </c>
      <c r="E3" s="24">
        <v>2036</v>
      </c>
      <c r="F3" s="24">
        <v>2039</v>
      </c>
      <c r="G3" s="24">
        <v>2043</v>
      </c>
      <c r="H3" s="25">
        <v>2047</v>
      </c>
      <c r="Q3" s="12" t="s">
        <v>40</v>
      </c>
      <c r="R3" s="13" t="s">
        <v>41</v>
      </c>
      <c r="S3" s="13" t="s">
        <v>27</v>
      </c>
      <c r="T3" s="13"/>
      <c r="U3" s="13"/>
      <c r="V3" s="13">
        <v>40292</v>
      </c>
      <c r="W3" s="13"/>
      <c r="X3" s="13"/>
      <c r="Y3" s="13" t="s">
        <v>42</v>
      </c>
      <c r="Z3" s="13"/>
      <c r="AA3" s="14"/>
    </row>
    <row r="4" spans="1:27" ht="15" hidden="1">
      <c r="A4" s="12" t="s">
        <v>61</v>
      </c>
      <c r="B4" s="12" t="str">
        <f aca="true" t="shared" si="0" ref="B4:B10">VLOOKUP(C4,$S$3:$Y$37,7,FALSE)</f>
        <v>DICY </v>
      </c>
      <c r="C4" s="13" t="s">
        <v>22</v>
      </c>
      <c r="D4" s="21">
        <v>0</v>
      </c>
      <c r="E4" s="21">
        <v>0</v>
      </c>
      <c r="F4" s="21">
        <v>140.2038</v>
      </c>
      <c r="G4" s="21">
        <v>140.2038</v>
      </c>
      <c r="H4" s="22">
        <v>133.19361</v>
      </c>
      <c r="Q4" s="5" t="s">
        <v>40</v>
      </c>
      <c r="R4" s="6" t="s">
        <v>41</v>
      </c>
      <c r="S4" s="6" t="s">
        <v>28</v>
      </c>
      <c r="T4" s="6"/>
      <c r="U4" s="6"/>
      <c r="V4" s="6">
        <v>44175</v>
      </c>
      <c r="W4" s="6"/>
      <c r="X4" s="6"/>
      <c r="Y4" s="6" t="s">
        <v>43</v>
      </c>
      <c r="Z4" s="6"/>
      <c r="AA4" s="7"/>
    </row>
    <row r="5" spans="1:27" ht="15" hidden="1">
      <c r="A5" s="5" t="s">
        <v>62</v>
      </c>
      <c r="B5" s="5" t="str">
        <f t="shared" si="0"/>
        <v>DIY0 </v>
      </c>
      <c r="C5" s="6" t="s">
        <v>23</v>
      </c>
      <c r="D5" s="16">
        <v>0</v>
      </c>
      <c r="E5" s="16">
        <v>0</v>
      </c>
      <c r="F5" s="16">
        <v>140.2038</v>
      </c>
      <c r="G5" s="16">
        <v>140.2038</v>
      </c>
      <c r="H5" s="17">
        <v>133.19361</v>
      </c>
      <c r="Q5" s="5" t="s">
        <v>40</v>
      </c>
      <c r="R5" s="6" t="s">
        <v>41</v>
      </c>
      <c r="S5" s="6" t="s">
        <v>29</v>
      </c>
      <c r="T5" s="6"/>
      <c r="U5" s="6"/>
      <c r="V5" s="6">
        <v>44170</v>
      </c>
      <c r="W5" s="6"/>
      <c r="X5" s="6"/>
      <c r="Y5" s="6" t="s">
        <v>44</v>
      </c>
      <c r="Z5" s="6"/>
      <c r="AA5" s="7"/>
    </row>
    <row r="6" spans="1:27" ht="15" hidden="1">
      <c r="A6" s="5" t="s">
        <v>63</v>
      </c>
      <c r="B6" s="5" t="str">
        <f t="shared" si="0"/>
        <v>DIY5 </v>
      </c>
      <c r="C6" s="6" t="s">
        <v>24</v>
      </c>
      <c r="D6" s="16">
        <v>0</v>
      </c>
      <c r="E6" s="16">
        <v>0</v>
      </c>
      <c r="F6" s="16">
        <v>140.2038</v>
      </c>
      <c r="G6" s="16">
        <v>140.2038</v>
      </c>
      <c r="H6" s="17">
        <v>133.19361</v>
      </c>
      <c r="Q6" s="5" t="s">
        <v>45</v>
      </c>
      <c r="R6" s="6" t="s">
        <v>46</v>
      </c>
      <c r="S6" s="6" t="s">
        <v>47</v>
      </c>
      <c r="T6" s="6"/>
      <c r="U6" s="6"/>
      <c r="V6" s="6">
        <v>40287</v>
      </c>
      <c r="W6" s="6"/>
      <c r="X6" s="6"/>
      <c r="Y6" s="6" t="s">
        <v>48</v>
      </c>
      <c r="Z6" s="6"/>
      <c r="AA6" s="7"/>
    </row>
    <row r="7" spans="1:27" ht="15" hidden="1">
      <c r="A7" s="5" t="s">
        <v>42</v>
      </c>
      <c r="B7" s="5" t="str">
        <f t="shared" si="0"/>
        <v>PARY </v>
      </c>
      <c r="C7" s="6" t="s">
        <v>27</v>
      </c>
      <c r="D7" s="16">
        <v>0</v>
      </c>
      <c r="E7" s="16">
        <v>0</v>
      </c>
      <c r="F7" s="16">
        <v>0</v>
      </c>
      <c r="G7" s="16">
        <v>100</v>
      </c>
      <c r="H7" s="17">
        <v>95</v>
      </c>
      <c r="Q7" s="5" t="s">
        <v>45</v>
      </c>
      <c r="R7" s="6" t="s">
        <v>46</v>
      </c>
      <c r="S7" s="6" t="s">
        <v>49</v>
      </c>
      <c r="T7" s="6"/>
      <c r="U7" s="6"/>
      <c r="V7" s="6">
        <v>44177</v>
      </c>
      <c r="W7" s="6"/>
      <c r="X7" s="6"/>
      <c r="Y7" s="6" t="s">
        <v>50</v>
      </c>
      <c r="Z7" s="6"/>
      <c r="AA7" s="7"/>
    </row>
    <row r="8" spans="1:27" ht="15" hidden="1">
      <c r="A8" s="5" t="s">
        <v>43</v>
      </c>
      <c r="B8" s="5" t="str">
        <f t="shared" si="0"/>
        <v>PAY0 </v>
      </c>
      <c r="C8" s="6" t="s">
        <v>28</v>
      </c>
      <c r="D8" s="16">
        <v>0</v>
      </c>
      <c r="E8" s="16">
        <v>0</v>
      </c>
      <c r="F8" s="16">
        <v>0</v>
      </c>
      <c r="G8" s="16">
        <v>100</v>
      </c>
      <c r="H8" s="17">
        <v>95</v>
      </c>
      <c r="Q8" s="5" t="s">
        <v>45</v>
      </c>
      <c r="R8" s="6" t="s">
        <v>46</v>
      </c>
      <c r="S8" s="6" t="s">
        <v>51</v>
      </c>
      <c r="T8" s="6"/>
      <c r="U8" s="6"/>
      <c r="V8" s="6">
        <v>44171</v>
      </c>
      <c r="W8" s="6"/>
      <c r="X8" s="6"/>
      <c r="Y8" s="6" t="s">
        <v>52</v>
      </c>
      <c r="Z8" s="6"/>
      <c r="AA8" s="7"/>
    </row>
    <row r="9" spans="1:27" ht="15" hidden="1">
      <c r="A9" s="5" t="s">
        <v>44</v>
      </c>
      <c r="B9" s="5" t="str">
        <f t="shared" si="0"/>
        <v>PAY5 </v>
      </c>
      <c r="C9" s="6" t="s">
        <v>29</v>
      </c>
      <c r="D9" s="16">
        <v>0</v>
      </c>
      <c r="E9" s="16">
        <v>0</v>
      </c>
      <c r="F9" s="16">
        <v>0</v>
      </c>
      <c r="G9" s="16">
        <v>100</v>
      </c>
      <c r="H9" s="17">
        <v>95</v>
      </c>
      <c r="Q9" s="5" t="s">
        <v>53</v>
      </c>
      <c r="R9" s="6" t="s">
        <v>54</v>
      </c>
      <c r="S9" s="6" t="s">
        <v>55</v>
      </c>
      <c r="T9" s="6"/>
      <c r="U9" s="6"/>
      <c r="V9" s="6">
        <v>44033</v>
      </c>
      <c r="W9" s="6"/>
      <c r="X9" s="6"/>
      <c r="Y9" s="6" t="s">
        <v>56</v>
      </c>
      <c r="Z9" s="6"/>
      <c r="AA9" s="7"/>
    </row>
    <row r="10" spans="1:27" ht="15" hidden="1">
      <c r="A10" s="5" t="s">
        <v>76</v>
      </c>
      <c r="B10" s="5" t="str">
        <f t="shared" si="0"/>
        <v>AA21 </v>
      </c>
      <c r="C10" s="6" t="s">
        <v>30</v>
      </c>
      <c r="D10" s="16">
        <v>88</v>
      </c>
      <c r="E10" s="16">
        <v>95</v>
      </c>
      <c r="F10" s="16">
        <v>0</v>
      </c>
      <c r="G10" s="16">
        <v>0</v>
      </c>
      <c r="H10" s="17">
        <v>95</v>
      </c>
      <c r="Q10" s="5" t="s">
        <v>53</v>
      </c>
      <c r="R10" s="6" t="s">
        <v>54</v>
      </c>
      <c r="S10" s="6" t="s">
        <v>57</v>
      </c>
      <c r="T10" s="6"/>
      <c r="U10" s="6"/>
      <c r="V10" s="6">
        <v>5448</v>
      </c>
      <c r="W10" s="6"/>
      <c r="X10" s="6"/>
      <c r="Y10" s="6" t="s">
        <v>58</v>
      </c>
      <c r="Z10" s="6"/>
      <c r="AA10" s="7"/>
    </row>
    <row r="11" spans="1:27" ht="15" hidden="1">
      <c r="A11" s="26" t="s">
        <v>76</v>
      </c>
      <c r="B11" s="18" t="s">
        <v>131</v>
      </c>
      <c r="C11" s="6" t="s">
        <v>31</v>
      </c>
      <c r="D11" s="16">
        <v>88</v>
      </c>
      <c r="E11" s="16">
        <v>95</v>
      </c>
      <c r="F11" s="16">
        <v>0</v>
      </c>
      <c r="G11" s="16">
        <v>0</v>
      </c>
      <c r="H11" s="17">
        <v>95</v>
      </c>
      <c r="Q11" s="5" t="s">
        <v>53</v>
      </c>
      <c r="R11" s="6" t="s">
        <v>54</v>
      </c>
      <c r="S11" s="6" t="s">
        <v>59</v>
      </c>
      <c r="T11" s="6"/>
      <c r="U11" s="6"/>
      <c r="V11" s="6">
        <v>5450</v>
      </c>
      <c r="W11" s="6"/>
      <c r="X11" s="6"/>
      <c r="Y11" s="6" t="s">
        <v>60</v>
      </c>
      <c r="Z11" s="6"/>
      <c r="AA11" s="7"/>
    </row>
    <row r="12" spans="1:27" ht="15" hidden="1">
      <c r="A12" s="26" t="s">
        <v>104</v>
      </c>
      <c r="B12" s="5" t="str">
        <f>VLOOKUP(C12,$S$3:$Y$37,7,FALSE)</f>
        <v>A2E2 </v>
      </c>
      <c r="C12" s="6" t="s">
        <v>32</v>
      </c>
      <c r="D12" s="16">
        <v>88</v>
      </c>
      <c r="E12" s="16">
        <v>95</v>
      </c>
      <c r="F12" s="16">
        <v>0</v>
      </c>
      <c r="G12" s="16">
        <v>0</v>
      </c>
      <c r="H12" s="17">
        <v>95</v>
      </c>
      <c r="Q12" s="5" t="s">
        <v>40</v>
      </c>
      <c r="R12" s="6" t="s">
        <v>41</v>
      </c>
      <c r="S12" s="6" t="s">
        <v>22</v>
      </c>
      <c r="T12" s="6"/>
      <c r="U12" s="6"/>
      <c r="V12" s="6">
        <v>40291</v>
      </c>
      <c r="W12" s="6"/>
      <c r="X12" s="6"/>
      <c r="Y12" s="6" t="s">
        <v>61</v>
      </c>
      <c r="Z12" s="6"/>
      <c r="AA12" s="7"/>
    </row>
    <row r="13" spans="1:27" ht="15" hidden="1">
      <c r="A13" s="26" t="s">
        <v>104</v>
      </c>
      <c r="B13" s="18" t="s">
        <v>129</v>
      </c>
      <c r="C13" s="6" t="s">
        <v>33</v>
      </c>
      <c r="D13" s="16">
        <v>88</v>
      </c>
      <c r="E13" s="16">
        <v>95</v>
      </c>
      <c r="F13" s="16">
        <v>0</v>
      </c>
      <c r="G13" s="16">
        <v>0</v>
      </c>
      <c r="H13" s="17">
        <v>95</v>
      </c>
      <c r="Q13" s="5" t="s">
        <v>40</v>
      </c>
      <c r="R13" s="6" t="s">
        <v>41</v>
      </c>
      <c r="S13" s="6" t="s">
        <v>23</v>
      </c>
      <c r="T13" s="6"/>
      <c r="U13" s="6"/>
      <c r="V13" s="6">
        <v>44174</v>
      </c>
      <c r="W13" s="6"/>
      <c r="X13" s="6"/>
      <c r="Y13" s="6" t="s">
        <v>62</v>
      </c>
      <c r="Z13" s="6"/>
      <c r="AA13" s="7"/>
    </row>
    <row r="14" spans="1:27" ht="15" hidden="1">
      <c r="A14" s="5" t="s">
        <v>124</v>
      </c>
      <c r="B14" s="5" t="str">
        <f>VLOOKUP(C14,$S$3:$Y$37,7,FALSE)</f>
        <v>A2E3 </v>
      </c>
      <c r="C14" s="6" t="s">
        <v>34</v>
      </c>
      <c r="D14" s="16">
        <v>88</v>
      </c>
      <c r="E14" s="16">
        <v>95</v>
      </c>
      <c r="F14" s="16">
        <v>0</v>
      </c>
      <c r="G14" s="16">
        <v>0</v>
      </c>
      <c r="H14" s="17">
        <v>95</v>
      </c>
      <c r="Q14" s="5" t="s">
        <v>40</v>
      </c>
      <c r="R14" s="6" t="s">
        <v>41</v>
      </c>
      <c r="S14" s="6" t="s">
        <v>24</v>
      </c>
      <c r="T14" s="6"/>
      <c r="U14" s="6"/>
      <c r="V14" s="6">
        <v>44169</v>
      </c>
      <c r="W14" s="6"/>
      <c r="X14" s="6"/>
      <c r="Y14" s="6" t="s">
        <v>63</v>
      </c>
      <c r="Z14" s="6"/>
      <c r="AA14" s="7"/>
    </row>
    <row r="15" spans="1:27" ht="15" hidden="1">
      <c r="A15" s="5" t="s">
        <v>81</v>
      </c>
      <c r="B15" s="5" t="str">
        <f>VLOOKUP(C15,$S$3:$Y$37,7,FALSE)</f>
        <v>AA26 </v>
      </c>
      <c r="C15" s="6" t="s">
        <v>78</v>
      </c>
      <c r="D15" s="16">
        <v>88</v>
      </c>
      <c r="E15" s="16">
        <v>95</v>
      </c>
      <c r="F15" s="16">
        <v>0</v>
      </c>
      <c r="G15" s="16">
        <v>0</v>
      </c>
      <c r="H15" s="17">
        <v>95</v>
      </c>
      <c r="Q15" s="5" t="s">
        <v>45</v>
      </c>
      <c r="R15" s="6" t="s">
        <v>46</v>
      </c>
      <c r="S15" s="6" t="s">
        <v>64</v>
      </c>
      <c r="T15" s="6"/>
      <c r="U15" s="6"/>
      <c r="V15" s="6">
        <v>40286</v>
      </c>
      <c r="W15" s="6"/>
      <c r="X15" s="6"/>
      <c r="Y15" s="6" t="s">
        <v>65</v>
      </c>
      <c r="Z15" s="6"/>
      <c r="AA15" s="7"/>
    </row>
    <row r="16" spans="1:27" ht="15" hidden="1">
      <c r="A16" s="5" t="s">
        <v>81</v>
      </c>
      <c r="B16" s="18" t="s">
        <v>130</v>
      </c>
      <c r="C16" s="6" t="s">
        <v>80</v>
      </c>
      <c r="D16" s="16">
        <v>88</v>
      </c>
      <c r="E16" s="16">
        <v>95</v>
      </c>
      <c r="F16" s="16">
        <v>0</v>
      </c>
      <c r="G16" s="16">
        <v>0</v>
      </c>
      <c r="H16" s="17">
        <v>95</v>
      </c>
      <c r="Q16" s="5" t="s">
        <v>45</v>
      </c>
      <c r="R16" s="6" t="s">
        <v>46</v>
      </c>
      <c r="S16" s="6" t="s">
        <v>66</v>
      </c>
      <c r="T16" s="6"/>
      <c r="U16" s="6"/>
      <c r="V16" s="6">
        <v>44176</v>
      </c>
      <c r="W16" s="6"/>
      <c r="X16" s="6"/>
      <c r="Y16" s="6" t="s">
        <v>67</v>
      </c>
      <c r="Z16" s="6"/>
      <c r="AA16" s="7"/>
    </row>
    <row r="17" spans="1:27" ht="15" hidden="1">
      <c r="A17" s="5" t="s">
        <v>81</v>
      </c>
      <c r="B17" s="18" t="s">
        <v>81</v>
      </c>
      <c r="C17" s="6" t="s">
        <v>79</v>
      </c>
      <c r="D17" s="16">
        <v>88</v>
      </c>
      <c r="E17" s="16">
        <v>95</v>
      </c>
      <c r="F17" s="16">
        <v>0</v>
      </c>
      <c r="G17" s="16">
        <v>0</v>
      </c>
      <c r="H17" s="17">
        <v>95</v>
      </c>
      <c r="Q17" s="5" t="s">
        <v>45</v>
      </c>
      <c r="R17" s="6" t="s">
        <v>46</v>
      </c>
      <c r="S17" s="6" t="s">
        <v>68</v>
      </c>
      <c r="T17" s="6"/>
      <c r="U17" s="6"/>
      <c r="V17" s="6">
        <v>44167</v>
      </c>
      <c r="W17" s="6"/>
      <c r="X17" s="6"/>
      <c r="Y17" s="6" t="s">
        <v>69</v>
      </c>
      <c r="Z17" s="6"/>
      <c r="AA17" s="7"/>
    </row>
    <row r="18" spans="1:27" ht="15" hidden="1">
      <c r="A18" s="5" t="s">
        <v>108</v>
      </c>
      <c r="B18" s="5" t="str">
        <f>VLOOKUP(C18,$S$3:$Y$37,7,FALSE)</f>
        <v>A2E7 </v>
      </c>
      <c r="C18" s="6" t="s">
        <v>106</v>
      </c>
      <c r="D18" s="16">
        <v>88</v>
      </c>
      <c r="E18" s="16">
        <v>95</v>
      </c>
      <c r="F18" s="16">
        <v>0</v>
      </c>
      <c r="G18" s="16">
        <v>0</v>
      </c>
      <c r="H18" s="17">
        <v>95</v>
      </c>
      <c r="Q18" s="5" t="s">
        <v>53</v>
      </c>
      <c r="R18" s="6" t="s">
        <v>54</v>
      </c>
      <c r="S18" s="6" t="s">
        <v>70</v>
      </c>
      <c r="T18" s="6"/>
      <c r="U18" s="6"/>
      <c r="V18" s="6">
        <v>44034</v>
      </c>
      <c r="W18" s="6"/>
      <c r="X18" s="6"/>
      <c r="Y18" s="6" t="s">
        <v>71</v>
      </c>
      <c r="Z18" s="6"/>
      <c r="AA18" s="7"/>
    </row>
    <row r="19" spans="1:27" ht="15" hidden="1">
      <c r="A19" s="5" t="s">
        <v>108</v>
      </c>
      <c r="B19" s="18" t="s">
        <v>132</v>
      </c>
      <c r="C19" s="6" t="s">
        <v>107</v>
      </c>
      <c r="D19" s="16">
        <v>88</v>
      </c>
      <c r="E19" s="16">
        <v>95</v>
      </c>
      <c r="F19" s="16">
        <v>0</v>
      </c>
      <c r="G19" s="16">
        <v>0</v>
      </c>
      <c r="H19" s="17">
        <v>95</v>
      </c>
      <c r="Q19" s="5" t="s">
        <v>53</v>
      </c>
      <c r="R19" s="6" t="s">
        <v>54</v>
      </c>
      <c r="S19" s="6" t="s">
        <v>72</v>
      </c>
      <c r="T19" s="6"/>
      <c r="U19" s="6"/>
      <c r="V19" s="6">
        <v>5447</v>
      </c>
      <c r="W19" s="6"/>
      <c r="X19" s="6"/>
      <c r="Y19" s="6" t="s">
        <v>73</v>
      </c>
      <c r="Z19" s="6"/>
      <c r="AA19" s="7"/>
    </row>
    <row r="20" spans="1:27" ht="15" hidden="1">
      <c r="A20" s="5" t="s">
        <v>126</v>
      </c>
      <c r="B20" s="5" t="str">
        <f>VLOOKUP(C20,$S$3:$Y$37,7,FALSE)</f>
        <v>A2E8 </v>
      </c>
      <c r="C20" s="6" t="s">
        <v>125</v>
      </c>
      <c r="D20" s="16">
        <v>88</v>
      </c>
      <c r="E20" s="16">
        <v>95</v>
      </c>
      <c r="F20" s="16">
        <v>0</v>
      </c>
      <c r="G20" s="16">
        <v>0</v>
      </c>
      <c r="H20" s="17">
        <v>95</v>
      </c>
      <c r="Q20" s="5" t="s">
        <v>53</v>
      </c>
      <c r="R20" s="6" t="s">
        <v>54</v>
      </c>
      <c r="S20" s="6" t="s">
        <v>74</v>
      </c>
      <c r="T20" s="6"/>
      <c r="U20" s="6"/>
      <c r="V20" s="6">
        <v>5449</v>
      </c>
      <c r="W20" s="6"/>
      <c r="X20" s="6"/>
      <c r="Y20" s="6" t="s">
        <v>75</v>
      </c>
      <c r="Z20" s="6"/>
      <c r="AA20" s="7"/>
    </row>
    <row r="21" spans="1:27" ht="15" hidden="1">
      <c r="A21" s="5" t="s">
        <v>92</v>
      </c>
      <c r="B21" s="5" t="str">
        <f>VLOOKUP(C21,$S$3:$Y$37,7,FALSE)</f>
        <v>AL28 </v>
      </c>
      <c r="C21" s="6" t="s">
        <v>90</v>
      </c>
      <c r="D21" s="16">
        <v>88</v>
      </c>
      <c r="E21" s="16">
        <v>95</v>
      </c>
      <c r="F21" s="16">
        <v>0</v>
      </c>
      <c r="G21" s="16">
        <v>0</v>
      </c>
      <c r="H21" s="17">
        <v>95</v>
      </c>
      <c r="Q21" s="5" t="s">
        <v>40</v>
      </c>
      <c r="R21" s="6" t="s">
        <v>41</v>
      </c>
      <c r="S21" s="6" t="s">
        <v>30</v>
      </c>
      <c r="T21" s="6" t="s">
        <v>31</v>
      </c>
      <c r="U21" s="6"/>
      <c r="V21" s="6">
        <v>92082</v>
      </c>
      <c r="W21" s="6">
        <v>90968</v>
      </c>
      <c r="X21" s="6"/>
      <c r="Y21" s="6" t="s">
        <v>76</v>
      </c>
      <c r="Z21" s="6" t="s">
        <v>77</v>
      </c>
      <c r="AA21" s="7"/>
    </row>
    <row r="22" spans="1:27" ht="15" hidden="1">
      <c r="A22" s="5" t="s">
        <v>92</v>
      </c>
      <c r="B22" s="18" t="s">
        <v>133</v>
      </c>
      <c r="C22" s="6" t="s">
        <v>91</v>
      </c>
      <c r="D22" s="16">
        <v>88</v>
      </c>
      <c r="E22" s="16">
        <v>95</v>
      </c>
      <c r="F22" s="16">
        <v>0</v>
      </c>
      <c r="G22" s="16">
        <v>0</v>
      </c>
      <c r="H22" s="17">
        <v>95</v>
      </c>
      <c r="Q22" s="5" t="s">
        <v>40</v>
      </c>
      <c r="R22" s="6" t="s">
        <v>41</v>
      </c>
      <c r="S22" s="6" t="s">
        <v>78</v>
      </c>
      <c r="T22" s="6" t="s">
        <v>79</v>
      </c>
      <c r="U22" s="6" t="s">
        <v>80</v>
      </c>
      <c r="V22" s="6">
        <v>92084</v>
      </c>
      <c r="W22" s="6">
        <v>91196</v>
      </c>
      <c r="X22" s="6">
        <v>91160</v>
      </c>
      <c r="Y22" s="6" t="s">
        <v>81</v>
      </c>
      <c r="Z22" s="6" t="s">
        <v>82</v>
      </c>
      <c r="AA22" s="7" t="s">
        <v>83</v>
      </c>
    </row>
    <row r="23" spans="1:27" ht="15" hidden="1">
      <c r="A23" s="5" t="s">
        <v>97</v>
      </c>
      <c r="B23" s="5" t="str">
        <f>VLOOKUP(C23,$S$3:$Y$37,7,FALSE)</f>
        <v>AL36 </v>
      </c>
      <c r="C23" s="6" t="s">
        <v>94</v>
      </c>
      <c r="D23" s="16">
        <v>88</v>
      </c>
      <c r="E23" s="16">
        <v>95</v>
      </c>
      <c r="F23" s="16">
        <v>0</v>
      </c>
      <c r="G23" s="16">
        <v>0</v>
      </c>
      <c r="H23" s="17">
        <v>95</v>
      </c>
      <c r="Q23" s="5" t="s">
        <v>40</v>
      </c>
      <c r="R23" s="6" t="s">
        <v>41</v>
      </c>
      <c r="S23" s="6" t="s">
        <v>84</v>
      </c>
      <c r="T23" s="6" t="s">
        <v>85</v>
      </c>
      <c r="U23" s="6" t="s">
        <v>86</v>
      </c>
      <c r="V23" s="6">
        <v>92080</v>
      </c>
      <c r="W23" s="6">
        <v>91197</v>
      </c>
      <c r="X23" s="6">
        <v>90870</v>
      </c>
      <c r="Y23" s="6" t="s">
        <v>87</v>
      </c>
      <c r="Z23" s="6" t="s">
        <v>88</v>
      </c>
      <c r="AA23" s="7" t="s">
        <v>89</v>
      </c>
    </row>
    <row r="24" spans="1:27" ht="15" hidden="1">
      <c r="A24" s="5" t="s">
        <v>97</v>
      </c>
      <c r="B24" s="18" t="s">
        <v>134</v>
      </c>
      <c r="C24" s="6" t="s">
        <v>96</v>
      </c>
      <c r="D24" s="16">
        <v>88</v>
      </c>
      <c r="E24" s="16">
        <v>95</v>
      </c>
      <c r="F24" s="16">
        <v>0</v>
      </c>
      <c r="G24" s="16">
        <v>0</v>
      </c>
      <c r="H24" s="17">
        <v>95</v>
      </c>
      <c r="Q24" s="5" t="s">
        <v>40</v>
      </c>
      <c r="R24" s="6" t="s">
        <v>41</v>
      </c>
      <c r="S24" s="6" t="s">
        <v>90</v>
      </c>
      <c r="T24" s="6" t="s">
        <v>91</v>
      </c>
      <c r="U24" s="6"/>
      <c r="V24" s="6">
        <v>92078</v>
      </c>
      <c r="W24" s="6">
        <v>90888</v>
      </c>
      <c r="X24" s="6"/>
      <c r="Y24" s="6" t="s">
        <v>92</v>
      </c>
      <c r="Z24" s="6" t="s">
        <v>93</v>
      </c>
      <c r="AA24" s="7"/>
    </row>
    <row r="25" spans="1:27" ht="15" hidden="1">
      <c r="A25" s="5" t="s">
        <v>97</v>
      </c>
      <c r="B25" s="18" t="s">
        <v>136</v>
      </c>
      <c r="C25" s="6" t="s">
        <v>95</v>
      </c>
      <c r="D25" s="16">
        <v>88</v>
      </c>
      <c r="E25" s="16">
        <v>95</v>
      </c>
      <c r="F25" s="16">
        <v>0</v>
      </c>
      <c r="G25" s="16">
        <v>0</v>
      </c>
      <c r="H25" s="17">
        <v>95</v>
      </c>
      <c r="Q25" s="5" t="s">
        <v>40</v>
      </c>
      <c r="R25" s="6" t="s">
        <v>41</v>
      </c>
      <c r="S25" s="6" t="s">
        <v>94</v>
      </c>
      <c r="T25" s="6" t="s">
        <v>95</v>
      </c>
      <c r="U25" s="6" t="s">
        <v>96</v>
      </c>
      <c r="V25" s="6">
        <v>92079</v>
      </c>
      <c r="W25" s="6" t="e">
        <v>#N/A</v>
      </c>
      <c r="X25" s="6">
        <v>91221</v>
      </c>
      <c r="Y25" s="6" t="s">
        <v>97</v>
      </c>
      <c r="Z25" s="8" t="s">
        <v>98</v>
      </c>
      <c r="AA25" s="7" t="s">
        <v>99</v>
      </c>
    </row>
    <row r="26" spans="1:27" ht="15" hidden="1">
      <c r="A26" s="5" t="s">
        <v>87</v>
      </c>
      <c r="B26" s="5" t="str">
        <f>VLOOKUP(C26,$S$3:$Y$37,7,FALSE)</f>
        <v>AA46 </v>
      </c>
      <c r="C26" s="6" t="s">
        <v>84</v>
      </c>
      <c r="D26" s="16">
        <v>0</v>
      </c>
      <c r="E26" s="16">
        <v>95</v>
      </c>
      <c r="F26" s="16">
        <v>0</v>
      </c>
      <c r="G26" s="16">
        <v>0</v>
      </c>
      <c r="H26" s="17">
        <v>95</v>
      </c>
      <c r="Q26" s="5" t="s">
        <v>45</v>
      </c>
      <c r="R26" s="6" t="s">
        <v>41</v>
      </c>
      <c r="S26" s="6" t="s">
        <v>100</v>
      </c>
      <c r="T26" s="6"/>
      <c r="U26" s="6"/>
      <c r="V26" s="6">
        <v>92008</v>
      </c>
      <c r="W26" s="6"/>
      <c r="X26" s="6"/>
      <c r="Y26" s="6" t="s">
        <v>101</v>
      </c>
      <c r="Z26" s="6"/>
      <c r="AA26" s="7"/>
    </row>
    <row r="27" spans="1:27" ht="15" hidden="1">
      <c r="A27" s="5" t="s">
        <v>87</v>
      </c>
      <c r="B27" s="18" t="s">
        <v>137</v>
      </c>
      <c r="C27" s="6" t="s">
        <v>86</v>
      </c>
      <c r="D27" s="16">
        <v>0</v>
      </c>
      <c r="E27" s="16">
        <v>95</v>
      </c>
      <c r="F27" s="16">
        <v>0</v>
      </c>
      <c r="G27" s="16">
        <v>0</v>
      </c>
      <c r="H27" s="17">
        <v>95</v>
      </c>
      <c r="Q27" s="5" t="s">
        <v>45</v>
      </c>
      <c r="R27" s="6" t="s">
        <v>41</v>
      </c>
      <c r="S27" s="6" t="s">
        <v>102</v>
      </c>
      <c r="T27" s="6"/>
      <c r="U27" s="6"/>
      <c r="V27" s="6">
        <v>92009</v>
      </c>
      <c r="W27" s="6"/>
      <c r="X27" s="6"/>
      <c r="Y27" s="6" t="s">
        <v>103</v>
      </c>
      <c r="Z27" s="6"/>
      <c r="AA27" s="7"/>
    </row>
    <row r="28" spans="1:27" ht="15" hidden="1">
      <c r="A28" s="5" t="s">
        <v>87</v>
      </c>
      <c r="B28" s="18" t="s">
        <v>138</v>
      </c>
      <c r="C28" s="6" t="s">
        <v>85</v>
      </c>
      <c r="D28" s="16">
        <v>0</v>
      </c>
      <c r="E28" s="16">
        <v>95</v>
      </c>
      <c r="F28" s="16">
        <v>0</v>
      </c>
      <c r="G28" s="16">
        <v>0</v>
      </c>
      <c r="H28" s="17">
        <v>95</v>
      </c>
      <c r="Q28" s="5" t="s">
        <v>40</v>
      </c>
      <c r="R28" s="6" t="s">
        <v>41</v>
      </c>
      <c r="S28" s="6" t="s">
        <v>32</v>
      </c>
      <c r="T28" s="6" t="s">
        <v>33</v>
      </c>
      <c r="U28" s="6"/>
      <c r="V28" s="6">
        <v>92083</v>
      </c>
      <c r="W28" s="6">
        <v>90993</v>
      </c>
      <c r="X28" s="6"/>
      <c r="Y28" s="6" t="s">
        <v>104</v>
      </c>
      <c r="Z28" s="6" t="s">
        <v>105</v>
      </c>
      <c r="AA28" s="7"/>
    </row>
    <row r="29" spans="1:27" ht="15" hidden="1">
      <c r="A29" s="5" t="s">
        <v>128</v>
      </c>
      <c r="B29" s="5" t="str">
        <f>VLOOKUP(C29,$S$3:$Y$37,7,FALSE)</f>
        <v>AE48 </v>
      </c>
      <c r="C29" s="6" t="s">
        <v>127</v>
      </c>
      <c r="D29" s="16">
        <v>0</v>
      </c>
      <c r="E29" s="16">
        <v>95</v>
      </c>
      <c r="F29" s="16">
        <v>0</v>
      </c>
      <c r="G29" s="16">
        <v>0</v>
      </c>
      <c r="H29" s="17">
        <v>95</v>
      </c>
      <c r="Q29" s="5" t="s">
        <v>40</v>
      </c>
      <c r="R29" s="6" t="s">
        <v>41</v>
      </c>
      <c r="S29" s="6" t="s">
        <v>106</v>
      </c>
      <c r="T29" s="6" t="s">
        <v>107</v>
      </c>
      <c r="U29" s="6"/>
      <c r="V29" s="6">
        <v>92085</v>
      </c>
      <c r="W29" s="6">
        <v>90929</v>
      </c>
      <c r="X29" s="6"/>
      <c r="Y29" s="6" t="s">
        <v>108</v>
      </c>
      <c r="Z29" s="6" t="s">
        <v>109</v>
      </c>
      <c r="AA29" s="7"/>
    </row>
    <row r="30" spans="1:27" ht="15" hidden="1">
      <c r="A30" s="5" t="s">
        <v>140</v>
      </c>
      <c r="B30" s="5" t="s">
        <v>139</v>
      </c>
      <c r="C30" s="6" t="s">
        <v>114</v>
      </c>
      <c r="D30" s="16">
        <v>0</v>
      </c>
      <c r="E30" s="16">
        <v>95</v>
      </c>
      <c r="F30" s="16">
        <v>0</v>
      </c>
      <c r="G30" s="16">
        <v>0</v>
      </c>
      <c r="H30" s="17">
        <v>95</v>
      </c>
      <c r="Q30" s="5" t="s">
        <v>110</v>
      </c>
      <c r="R30" s="6" t="s">
        <v>41</v>
      </c>
      <c r="S30" s="6" t="s">
        <v>111</v>
      </c>
      <c r="T30" s="6"/>
      <c r="U30" s="6"/>
      <c r="V30" s="6">
        <v>92235</v>
      </c>
      <c r="W30" s="6"/>
      <c r="X30" s="6"/>
      <c r="Y30" s="6" t="s">
        <v>112</v>
      </c>
      <c r="Z30" s="6"/>
      <c r="AA30" s="7"/>
    </row>
    <row r="31" spans="1:27" ht="15.75" hidden="1" thickBot="1">
      <c r="A31" s="9" t="s">
        <v>140</v>
      </c>
      <c r="B31" s="9" t="str">
        <f>VLOOKUP(C31,$S$3:$Y$37,7,FALSE)</f>
        <v>AC17</v>
      </c>
      <c r="C31" s="10" t="s">
        <v>113</v>
      </c>
      <c r="D31" s="19">
        <v>0</v>
      </c>
      <c r="E31" s="19">
        <v>95</v>
      </c>
      <c r="F31" s="19">
        <v>0</v>
      </c>
      <c r="G31" s="19">
        <v>0</v>
      </c>
      <c r="H31" s="20">
        <v>95</v>
      </c>
      <c r="Q31" s="5" t="s">
        <v>40</v>
      </c>
      <c r="R31" s="6" t="s">
        <v>41</v>
      </c>
      <c r="S31" s="6" t="s">
        <v>113</v>
      </c>
      <c r="T31" s="6" t="s">
        <v>114</v>
      </c>
      <c r="U31" s="6" t="s">
        <v>115</v>
      </c>
      <c r="V31" s="8" t="e">
        <v>#N/A</v>
      </c>
      <c r="W31" s="6">
        <v>92110</v>
      </c>
      <c r="X31" s="6">
        <v>92208</v>
      </c>
      <c r="Y31" s="8" t="s">
        <v>140</v>
      </c>
      <c r="Z31" s="6" t="s">
        <v>116</v>
      </c>
      <c r="AA31" s="7" t="s">
        <v>117</v>
      </c>
    </row>
    <row r="32" spans="17:27" ht="15" hidden="1">
      <c r="Q32" s="5" t="s">
        <v>45</v>
      </c>
      <c r="R32" s="6" t="s">
        <v>41</v>
      </c>
      <c r="S32" s="6" t="s">
        <v>118</v>
      </c>
      <c r="T32" s="6"/>
      <c r="U32" s="6"/>
      <c r="V32" s="6">
        <v>92150</v>
      </c>
      <c r="W32" s="6"/>
      <c r="X32" s="6"/>
      <c r="Y32" s="6" t="s">
        <v>119</v>
      </c>
      <c r="Z32" s="6"/>
      <c r="AA32" s="7"/>
    </row>
    <row r="33" spans="16:28" ht="15" hidden="1">
      <c r="P33" t="s">
        <v>156</v>
      </c>
      <c r="Q33" s="5" t="s">
        <v>45</v>
      </c>
      <c r="R33" s="6" t="s">
        <v>41</v>
      </c>
      <c r="S33" s="6" t="s">
        <v>120</v>
      </c>
      <c r="T33" s="6"/>
      <c r="U33" s="6"/>
      <c r="V33" s="6">
        <v>92147</v>
      </c>
      <c r="W33" s="6"/>
      <c r="X33" s="6"/>
      <c r="Y33" s="6" t="s">
        <v>121</v>
      </c>
      <c r="Z33" s="6"/>
      <c r="AA33" s="7"/>
      <c r="AB33">
        <v>99.8109</v>
      </c>
    </row>
    <row r="34" spans="17:27" ht="15.75" thickBot="1">
      <c r="Q34" s="5" t="s">
        <v>45</v>
      </c>
      <c r="R34" s="6" t="s">
        <v>41</v>
      </c>
      <c r="S34" s="6" t="s">
        <v>122</v>
      </c>
      <c r="T34" s="6"/>
      <c r="U34" s="6"/>
      <c r="V34" s="6">
        <v>92151</v>
      </c>
      <c r="W34" s="6"/>
      <c r="X34" s="6"/>
      <c r="Y34" s="6" t="s">
        <v>123</v>
      </c>
      <c r="Z34" s="6"/>
      <c r="AA34" s="7"/>
    </row>
    <row r="35" spans="2:36" ht="15.75" thickBot="1">
      <c r="B35" s="23" t="s">
        <v>135</v>
      </c>
      <c r="C35" s="24" t="s">
        <v>25</v>
      </c>
      <c r="D35" s="24">
        <v>2030</v>
      </c>
      <c r="E35" s="24">
        <v>2036</v>
      </c>
      <c r="F35" s="24">
        <v>2039</v>
      </c>
      <c r="G35" s="24">
        <v>2043</v>
      </c>
      <c r="H35" s="25">
        <v>2047</v>
      </c>
      <c r="M35" t="s">
        <v>135</v>
      </c>
      <c r="N35" t="s">
        <v>153</v>
      </c>
      <c r="O35" t="s">
        <v>154</v>
      </c>
      <c r="P35" t="s">
        <v>155</v>
      </c>
      <c r="Q35" s="5" t="s">
        <v>40</v>
      </c>
      <c r="R35" s="6" t="s">
        <v>41</v>
      </c>
      <c r="S35" s="6" t="s">
        <v>34</v>
      </c>
      <c r="T35" s="6"/>
      <c r="U35" s="6"/>
      <c r="V35" s="6">
        <v>92163</v>
      </c>
      <c r="W35" s="6"/>
      <c r="X35" s="6"/>
      <c r="Y35" s="6" t="s">
        <v>124</v>
      </c>
      <c r="Z35" s="6"/>
      <c r="AA35" s="7"/>
      <c r="AF35" t="s">
        <v>162</v>
      </c>
      <c r="AG35" s="28">
        <v>0.88</v>
      </c>
      <c r="AH35" s="28">
        <v>0.95</v>
      </c>
      <c r="AI35" s="29">
        <f>+F36/100</f>
        <v>1</v>
      </c>
      <c r="AJ35" s="29">
        <f>+H36/100</f>
        <v>0.95</v>
      </c>
    </row>
    <row r="36" spans="1:36" ht="15">
      <c r="A36" s="12" t="s">
        <v>61</v>
      </c>
      <c r="B36" s="12" t="str">
        <f aca="true" t="shared" si="1" ref="B36:B51">VLOOKUP(C36,$S$3:$Y$37,7,FALSE)</f>
        <v>DICY </v>
      </c>
      <c r="C36" s="13" t="s">
        <v>22</v>
      </c>
      <c r="D36" s="21">
        <v>0</v>
      </c>
      <c r="E36" s="21">
        <v>0</v>
      </c>
      <c r="F36" s="21">
        <v>100</v>
      </c>
      <c r="G36" s="21">
        <v>100</v>
      </c>
      <c r="H36" s="22">
        <v>95</v>
      </c>
      <c r="M36" t="s">
        <v>61</v>
      </c>
      <c r="N36">
        <v>5900</v>
      </c>
      <c r="O36">
        <v>59.65</v>
      </c>
      <c r="P36">
        <f>+O36</f>
        <v>59.65</v>
      </c>
      <c r="Q36" s="5" t="s">
        <v>40</v>
      </c>
      <c r="R36" s="6" t="s">
        <v>41</v>
      </c>
      <c r="S36" s="6" t="s">
        <v>125</v>
      </c>
      <c r="T36" s="6"/>
      <c r="U36" s="6"/>
      <c r="V36" s="6">
        <v>92164</v>
      </c>
      <c r="W36" s="6"/>
      <c r="X36" s="6"/>
      <c r="Y36" s="6" t="s">
        <v>126</v>
      </c>
      <c r="Z36" s="6"/>
      <c r="AA36" s="7"/>
      <c r="AD36" t="s">
        <v>158</v>
      </c>
      <c r="AF36">
        <f>+(P36+P37)/2</f>
        <v>54.87236456639505</v>
      </c>
      <c r="AG36" s="1">
        <f>+AF36*$AG$35</f>
        <v>48.287680818427646</v>
      </c>
      <c r="AH36" s="1">
        <f>+AF36*$AH$35</f>
        <v>52.128746338075295</v>
      </c>
      <c r="AI36" s="1">
        <f>+AI35*$AF$36</f>
        <v>54.87236456639505</v>
      </c>
      <c r="AJ36" s="1">
        <f>+AF36*$AJ$35</f>
        <v>52.128746338075295</v>
      </c>
    </row>
    <row r="37" spans="1:36" ht="15.75" thickBot="1">
      <c r="A37" s="5" t="s">
        <v>62</v>
      </c>
      <c r="B37" s="5" t="str">
        <f t="shared" si="1"/>
        <v>DIY0 </v>
      </c>
      <c r="C37" s="6" t="s">
        <v>23</v>
      </c>
      <c r="D37" s="16">
        <v>0</v>
      </c>
      <c r="E37" s="16">
        <v>0</v>
      </c>
      <c r="F37" s="16">
        <v>100</v>
      </c>
      <c r="G37" s="16">
        <v>100</v>
      </c>
      <c r="H37" s="17">
        <v>95</v>
      </c>
      <c r="M37" t="s">
        <v>62</v>
      </c>
      <c r="N37">
        <v>5000</v>
      </c>
      <c r="O37" s="31">
        <v>88</v>
      </c>
      <c r="P37">
        <f>+N37/$AB$33</f>
        <v>50.09472913279011</v>
      </c>
      <c r="Q37" s="9" t="s">
        <v>40</v>
      </c>
      <c r="R37" s="10" t="s">
        <v>41</v>
      </c>
      <c r="S37" s="10" t="s">
        <v>127</v>
      </c>
      <c r="T37" s="10"/>
      <c r="U37" s="10"/>
      <c r="V37" s="10">
        <v>92162</v>
      </c>
      <c r="W37" s="10"/>
      <c r="X37" s="10"/>
      <c r="Y37" s="10" t="s">
        <v>128</v>
      </c>
      <c r="Z37" s="10"/>
      <c r="AA37" s="11"/>
      <c r="AG37" s="1"/>
      <c r="AH37" s="1"/>
      <c r="AI37" s="1"/>
      <c r="AJ37" s="1"/>
    </row>
    <row r="38" spans="1:36" ht="15">
      <c r="A38" s="5" t="s">
        <v>63</v>
      </c>
      <c r="B38" s="5" t="str">
        <f t="shared" si="1"/>
        <v>DIY5 </v>
      </c>
      <c r="C38" s="6" t="s">
        <v>24</v>
      </c>
      <c r="D38" s="16">
        <v>0</v>
      </c>
      <c r="E38" s="16">
        <v>0</v>
      </c>
      <c r="F38" s="16">
        <v>100</v>
      </c>
      <c r="G38" s="16">
        <v>100</v>
      </c>
      <c r="H38" s="17">
        <v>95</v>
      </c>
      <c r="M38" t="s">
        <v>63</v>
      </c>
      <c r="AG38" s="1"/>
      <c r="AH38" s="1"/>
      <c r="AI38" s="1"/>
      <c r="AJ38" s="1"/>
    </row>
    <row r="39" spans="1:36" ht="15">
      <c r="A39" s="5" t="s">
        <v>42</v>
      </c>
      <c r="B39" s="5" t="str">
        <f t="shared" si="1"/>
        <v>PARY </v>
      </c>
      <c r="C39" s="6" t="s">
        <v>27</v>
      </c>
      <c r="D39" s="16">
        <v>0</v>
      </c>
      <c r="E39" s="16">
        <v>0</v>
      </c>
      <c r="F39" s="16">
        <v>0</v>
      </c>
      <c r="G39" s="16">
        <v>100</v>
      </c>
      <c r="H39" s="17">
        <v>95</v>
      </c>
      <c r="M39" t="s">
        <v>42</v>
      </c>
      <c r="N39">
        <v>3215</v>
      </c>
      <c r="O39">
        <v>32.3</v>
      </c>
      <c r="P39">
        <f>+O39</f>
        <v>32.3</v>
      </c>
      <c r="AD39" t="s">
        <v>159</v>
      </c>
      <c r="AF39">
        <f>(+P39+P40)/2</f>
        <v>31.178418739837028</v>
      </c>
      <c r="AG39" s="1">
        <f>+AF39*$AG$35</f>
        <v>27.437008491056584</v>
      </c>
      <c r="AH39" s="1">
        <f>+AF39*$AH$35</f>
        <v>29.619497802845174</v>
      </c>
      <c r="AI39" s="1">
        <f>+AI35*$AF$39</f>
        <v>31.178418739837028</v>
      </c>
      <c r="AJ39" s="1">
        <f>+AF39*$AJ$35</f>
        <v>29.619497802845174</v>
      </c>
    </row>
    <row r="40" spans="1:36" ht="15">
      <c r="A40" s="5" t="s">
        <v>43</v>
      </c>
      <c r="B40" s="5" t="str">
        <f t="shared" si="1"/>
        <v>PAY0 </v>
      </c>
      <c r="C40" s="6" t="s">
        <v>28</v>
      </c>
      <c r="D40" s="16">
        <v>0</v>
      </c>
      <c r="E40" s="16">
        <v>0</v>
      </c>
      <c r="F40" s="16">
        <v>0</v>
      </c>
      <c r="G40" s="16">
        <v>100</v>
      </c>
      <c r="H40" s="17">
        <v>95</v>
      </c>
      <c r="M40" t="s">
        <v>43</v>
      </c>
      <c r="N40">
        <v>3000</v>
      </c>
      <c r="O40" s="31">
        <v>28</v>
      </c>
      <c r="P40">
        <f>+N40/AB33</f>
        <v>30.056837479674062</v>
      </c>
      <c r="AG40" s="1"/>
      <c r="AH40" s="1"/>
      <c r="AI40" s="1"/>
      <c r="AJ40" s="1"/>
    </row>
    <row r="41" spans="1:36" ht="15">
      <c r="A41" s="5" t="s">
        <v>44</v>
      </c>
      <c r="B41" s="5" t="str">
        <f t="shared" si="1"/>
        <v>PAY5 </v>
      </c>
      <c r="C41" s="6" t="s">
        <v>29</v>
      </c>
      <c r="D41" s="16">
        <v>0</v>
      </c>
      <c r="E41" s="16">
        <v>0</v>
      </c>
      <c r="F41" s="16">
        <v>0</v>
      </c>
      <c r="G41" s="16">
        <v>100</v>
      </c>
      <c r="H41" s="17">
        <v>95</v>
      </c>
      <c r="M41" t="s">
        <v>44</v>
      </c>
      <c r="AG41" s="1"/>
      <c r="AH41" s="1"/>
      <c r="AI41" s="1"/>
      <c r="AJ41" s="1"/>
    </row>
    <row r="42" spans="1:36" ht="15">
      <c r="A42" s="5" t="s">
        <v>76</v>
      </c>
      <c r="B42" s="5" t="str">
        <f t="shared" si="1"/>
        <v>AA21 </v>
      </c>
      <c r="C42" s="6" t="s">
        <v>30</v>
      </c>
      <c r="D42" s="16">
        <v>88</v>
      </c>
      <c r="E42" s="16">
        <v>95</v>
      </c>
      <c r="F42" s="16">
        <v>0</v>
      </c>
      <c r="G42" s="16">
        <v>0</v>
      </c>
      <c r="H42" s="17">
        <v>95</v>
      </c>
      <c r="M42" t="s">
        <v>76</v>
      </c>
      <c r="N42" s="31">
        <v>4190</v>
      </c>
      <c r="O42" s="31">
        <v>52</v>
      </c>
      <c r="AD42" t="s">
        <v>160</v>
      </c>
      <c r="AF42">
        <f>+(P43+P44+P46+P47)/4</f>
        <v>33.30313030691037</v>
      </c>
      <c r="AG42" s="1">
        <f>+AF42*$AG$35</f>
        <v>29.306754670081123</v>
      </c>
      <c r="AH42" s="1">
        <f>+AF42*$AH$35</f>
        <v>31.63797379156485</v>
      </c>
      <c r="AI42" s="1">
        <f>+AI35*$AF$42</f>
        <v>33.30313030691037</v>
      </c>
      <c r="AJ42" s="1">
        <f>+AF42*$AJ$35</f>
        <v>31.63797379156485</v>
      </c>
    </row>
    <row r="43" spans="1:36" ht="15">
      <c r="A43" s="26" t="s">
        <v>104</v>
      </c>
      <c r="B43" s="5" t="str">
        <f t="shared" si="1"/>
        <v>A2E2 </v>
      </c>
      <c r="C43" s="6" t="s">
        <v>32</v>
      </c>
      <c r="D43" s="16">
        <v>88</v>
      </c>
      <c r="E43" s="16">
        <v>95</v>
      </c>
      <c r="F43" s="16">
        <v>0</v>
      </c>
      <c r="G43" s="16">
        <v>0</v>
      </c>
      <c r="H43" s="17">
        <v>95</v>
      </c>
      <c r="M43" t="s">
        <v>104</v>
      </c>
      <c r="N43">
        <v>3500</v>
      </c>
      <c r="O43">
        <v>36.5</v>
      </c>
      <c r="P43">
        <f>+O43</f>
        <v>36.5</v>
      </c>
      <c r="AG43" s="1"/>
      <c r="AH43" s="1"/>
      <c r="AI43" s="1"/>
      <c r="AJ43" s="1"/>
    </row>
    <row r="44" spans="1:36" ht="15">
      <c r="A44" s="5" t="s">
        <v>124</v>
      </c>
      <c r="B44" s="5" t="str">
        <f t="shared" si="1"/>
        <v>A2E3 </v>
      </c>
      <c r="C44" s="6" t="s">
        <v>34</v>
      </c>
      <c r="D44" s="16">
        <v>88</v>
      </c>
      <c r="E44" s="16">
        <v>95</v>
      </c>
      <c r="F44" s="16">
        <v>0</v>
      </c>
      <c r="G44" s="16">
        <v>0</v>
      </c>
      <c r="H44" s="17">
        <v>95</v>
      </c>
      <c r="K44" s="27" t="s">
        <v>193</v>
      </c>
      <c r="M44" t="s">
        <v>124</v>
      </c>
      <c r="N44">
        <v>3300</v>
      </c>
      <c r="O44" s="31">
        <v>33</v>
      </c>
      <c r="P44">
        <f>+N44/AB33</f>
        <v>33.06252122764147</v>
      </c>
      <c r="AG44" s="1"/>
      <c r="AH44" s="1"/>
      <c r="AI44" s="1"/>
      <c r="AJ44" s="1"/>
    </row>
    <row r="45" spans="1:36" ht="15">
      <c r="A45" s="5" t="s">
        <v>81</v>
      </c>
      <c r="B45" s="5" t="str">
        <f t="shared" si="1"/>
        <v>AA26 </v>
      </c>
      <c r="C45" s="6" t="s">
        <v>78</v>
      </c>
      <c r="D45" s="16">
        <v>88</v>
      </c>
      <c r="E45" s="16">
        <v>95</v>
      </c>
      <c r="F45" s="16">
        <v>0</v>
      </c>
      <c r="G45" s="16">
        <v>0</v>
      </c>
      <c r="H45" s="17">
        <v>95</v>
      </c>
      <c r="M45" t="s">
        <v>81</v>
      </c>
      <c r="AG45" s="1"/>
      <c r="AH45" s="1"/>
      <c r="AI45" s="1"/>
      <c r="AJ45" s="1"/>
    </row>
    <row r="46" spans="1:36" ht="15">
      <c r="A46" s="5" t="s">
        <v>108</v>
      </c>
      <c r="B46" s="5" t="str">
        <f t="shared" si="1"/>
        <v>A2E7 </v>
      </c>
      <c r="C46" s="6" t="s">
        <v>106</v>
      </c>
      <c r="D46" s="16">
        <v>88</v>
      </c>
      <c r="E46" s="16">
        <v>95</v>
      </c>
      <c r="F46" s="16">
        <v>0</v>
      </c>
      <c r="G46" s="16">
        <v>0</v>
      </c>
      <c r="H46" s="17">
        <v>95</v>
      </c>
      <c r="M46" t="s">
        <v>108</v>
      </c>
      <c r="N46">
        <v>3550</v>
      </c>
      <c r="O46" s="32">
        <v>35</v>
      </c>
      <c r="P46">
        <f>+O46</f>
        <v>35</v>
      </c>
      <c r="AD46" t="s">
        <v>161</v>
      </c>
      <c r="AF46">
        <f>+SUM(P43:P52)/5</f>
        <v>33.25250424552829</v>
      </c>
      <c r="AG46" s="1">
        <f>+AF46*$AG$35</f>
        <v>29.262203736064897</v>
      </c>
      <c r="AH46" s="1">
        <f>+AF46*$AH$35</f>
        <v>31.589879033251876</v>
      </c>
      <c r="AI46" s="1">
        <f>+AI35*$AF$46</f>
        <v>33.25250424552829</v>
      </c>
      <c r="AJ46" s="1">
        <f>+AF46*$AJ$35</f>
        <v>31.589879033251876</v>
      </c>
    </row>
    <row r="47" spans="1:16" ht="15">
      <c r="A47" s="5" t="s">
        <v>126</v>
      </c>
      <c r="B47" s="5" t="str">
        <f t="shared" si="1"/>
        <v>A2E8 </v>
      </c>
      <c r="C47" s="6" t="s">
        <v>125</v>
      </c>
      <c r="D47" s="16">
        <v>88</v>
      </c>
      <c r="E47" s="16">
        <v>95</v>
      </c>
      <c r="F47" s="16">
        <v>0</v>
      </c>
      <c r="G47" s="16">
        <v>0</v>
      </c>
      <c r="H47" s="17">
        <v>95</v>
      </c>
      <c r="M47" t="s">
        <v>126</v>
      </c>
      <c r="N47">
        <v>3270</v>
      </c>
      <c r="O47" s="32">
        <v>28.65</v>
      </c>
      <c r="P47">
        <f>+O47</f>
        <v>28.65</v>
      </c>
    </row>
    <row r="48" spans="1:13" ht="15">
      <c r="A48" s="5" t="s">
        <v>92</v>
      </c>
      <c r="B48" s="5" t="str">
        <f t="shared" si="1"/>
        <v>AL28 </v>
      </c>
      <c r="C48" s="6" t="s">
        <v>90</v>
      </c>
      <c r="D48" s="16">
        <v>88</v>
      </c>
      <c r="E48" s="16">
        <v>95</v>
      </c>
      <c r="F48" s="16">
        <v>0</v>
      </c>
      <c r="G48" s="16">
        <v>0</v>
      </c>
      <c r="H48" s="17">
        <v>95</v>
      </c>
      <c r="M48" t="s">
        <v>92</v>
      </c>
    </row>
    <row r="49" spans="1:13" ht="15">
      <c r="A49" s="5" t="s">
        <v>97</v>
      </c>
      <c r="B49" s="5" t="str">
        <f t="shared" si="1"/>
        <v>AL36 </v>
      </c>
      <c r="C49" s="6" t="s">
        <v>94</v>
      </c>
      <c r="D49" s="16">
        <v>88</v>
      </c>
      <c r="E49" s="16">
        <v>95</v>
      </c>
      <c r="F49" s="16">
        <v>0</v>
      </c>
      <c r="G49" s="16">
        <v>0</v>
      </c>
      <c r="H49" s="17">
        <v>95</v>
      </c>
      <c r="M49" t="s">
        <v>97</v>
      </c>
    </row>
    <row r="50" spans="1:13" ht="15">
      <c r="A50" s="5" t="s">
        <v>87</v>
      </c>
      <c r="B50" s="5" t="str">
        <f t="shared" si="1"/>
        <v>AA46 </v>
      </c>
      <c r="C50" s="6" t="s">
        <v>84</v>
      </c>
      <c r="D50" s="16">
        <v>0</v>
      </c>
      <c r="E50" s="16">
        <v>95</v>
      </c>
      <c r="F50" s="16">
        <v>0</v>
      </c>
      <c r="G50" s="16">
        <v>0</v>
      </c>
      <c r="H50" s="17">
        <v>95</v>
      </c>
      <c r="M50" t="s">
        <v>87</v>
      </c>
    </row>
    <row r="51" spans="1:13" ht="15">
      <c r="A51" s="5" t="s">
        <v>128</v>
      </c>
      <c r="B51" s="5" t="str">
        <f t="shared" si="1"/>
        <v>AE48 </v>
      </c>
      <c r="C51" s="6" t="s">
        <v>127</v>
      </c>
      <c r="D51" s="16">
        <v>0</v>
      </c>
      <c r="E51" s="16">
        <v>95</v>
      </c>
      <c r="F51" s="16">
        <v>0</v>
      </c>
      <c r="G51" s="16">
        <v>0</v>
      </c>
      <c r="H51" s="17">
        <v>95</v>
      </c>
      <c r="M51" t="s">
        <v>128</v>
      </c>
    </row>
    <row r="52" spans="1:16" ht="15.75" thickBot="1">
      <c r="A52" s="9" t="s">
        <v>140</v>
      </c>
      <c r="B52" s="9" t="str">
        <f>VLOOKUP(C52,$S$3:$Y$37,7,FALSE)</f>
        <v>AC17</v>
      </c>
      <c r="C52" s="10" t="s">
        <v>113</v>
      </c>
      <c r="D52" s="19">
        <v>0</v>
      </c>
      <c r="E52" s="19">
        <v>95</v>
      </c>
      <c r="F52" s="19">
        <v>0</v>
      </c>
      <c r="G52" s="19">
        <v>0</v>
      </c>
      <c r="H52" s="20">
        <v>95</v>
      </c>
      <c r="M52" t="s">
        <v>140</v>
      </c>
      <c r="N52">
        <v>3305</v>
      </c>
      <c r="O52">
        <v>33.05</v>
      </c>
      <c r="P52">
        <f>+O52</f>
        <v>33.05</v>
      </c>
    </row>
    <row r="56" ht="15">
      <c r="C56" s="34"/>
    </row>
    <row r="62" spans="6:16" ht="15">
      <c r="F62" s="37"/>
      <c r="G62" s="37"/>
      <c r="H62" s="275"/>
      <c r="I62" s="275"/>
      <c r="J62" s="275"/>
      <c r="K62" s="275"/>
      <c r="L62" s="275"/>
      <c r="M62" s="275"/>
      <c r="N62" s="275"/>
      <c r="O62" s="275"/>
      <c r="P62" s="275"/>
    </row>
    <row r="63" spans="3:16" ht="15">
      <c r="C63" s="3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5">
      <c r="C64" s="3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5">
      <c r="C65" s="3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5">
      <c r="C66" s="3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5">
      <c r="C67" s="3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5">
      <c r="C68" s="3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5">
      <c r="C69" s="3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5">
      <c r="C70" s="3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5">
      <c r="C71" s="3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5">
      <c r="C72" s="3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5">
      <c r="C73" s="3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5">
      <c r="C74" s="3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9.5">
      <c r="C75" s="3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5">
      <c r="C76" s="3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5">
      <c r="C77" s="3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5">
      <c r="C78" s="3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5">
      <c r="C79" s="3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5">
      <c r="C80" s="3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5">
      <c r="C81" s="3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5">
      <c r="C82" s="3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5">
      <c r="C83" s="3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5">
      <c r="C84" s="33"/>
      <c r="F84" s="3"/>
      <c r="G84" s="3"/>
      <c r="H84" s="3"/>
      <c r="I84" s="30"/>
      <c r="J84" s="30"/>
      <c r="K84" s="30"/>
      <c r="L84" s="30"/>
      <c r="M84" s="30"/>
      <c r="N84" s="30"/>
      <c r="O84" s="30"/>
      <c r="P84" s="3"/>
    </row>
    <row r="85" spans="3:16" ht="15">
      <c r="C85" s="33"/>
      <c r="F85" s="3"/>
      <c r="G85" s="3"/>
      <c r="H85" s="3"/>
      <c r="I85" s="30"/>
      <c r="J85" s="30"/>
      <c r="K85" s="30"/>
      <c r="L85" s="30"/>
      <c r="M85" s="30"/>
      <c r="N85" s="30"/>
      <c r="O85" s="30"/>
      <c r="P85" s="3"/>
    </row>
    <row r="86" spans="3:16" ht="15">
      <c r="C86" s="33"/>
      <c r="F86" s="3"/>
      <c r="G86" s="3"/>
      <c r="H86" s="3"/>
      <c r="I86" s="30"/>
      <c r="J86" s="30"/>
      <c r="K86" s="30"/>
      <c r="L86" s="30"/>
      <c r="M86" s="30"/>
      <c r="N86" s="30"/>
      <c r="O86" s="30"/>
      <c r="P86" s="3"/>
    </row>
    <row r="87" spans="3:16" ht="15">
      <c r="C87" s="33"/>
      <c r="F87" s="3"/>
      <c r="G87" s="3"/>
      <c r="H87" s="3"/>
      <c r="I87" s="30"/>
      <c r="J87" s="30"/>
      <c r="K87" s="30"/>
      <c r="L87" s="30"/>
      <c r="M87" s="30"/>
      <c r="N87" s="30"/>
      <c r="O87" s="30"/>
      <c r="P87" s="3"/>
    </row>
    <row r="88" spans="3:16" ht="15">
      <c r="C88" s="36"/>
      <c r="F88" s="3"/>
      <c r="G88" s="3"/>
      <c r="H88" s="3"/>
      <c r="I88" s="30"/>
      <c r="J88" s="30"/>
      <c r="K88" s="30"/>
      <c r="L88" s="30"/>
      <c r="M88" s="30"/>
      <c r="N88" s="30"/>
      <c r="O88" s="30"/>
      <c r="P88" s="3"/>
    </row>
    <row r="89" spans="3:16" ht="15">
      <c r="C89" s="33"/>
      <c r="F89" s="3"/>
      <c r="G89" s="3"/>
      <c r="H89" s="3"/>
      <c r="I89" s="30"/>
      <c r="J89" s="30"/>
      <c r="K89" s="30"/>
      <c r="L89" s="30"/>
      <c r="M89" s="30"/>
      <c r="N89" s="30"/>
      <c r="O89" s="30"/>
      <c r="P89" s="3"/>
    </row>
    <row r="90" spans="3:16" ht="15">
      <c r="C90" s="33"/>
      <c r="F90" s="3"/>
      <c r="G90" s="3"/>
      <c r="H90" s="3"/>
      <c r="I90" s="30"/>
      <c r="J90" s="30"/>
      <c r="K90" s="30"/>
      <c r="L90" s="30"/>
      <c r="M90" s="30"/>
      <c r="N90" s="30"/>
      <c r="O90" s="30"/>
      <c r="P90" s="3"/>
    </row>
    <row r="91" spans="3:16" ht="15">
      <c r="C91" s="33"/>
      <c r="F91" s="3"/>
      <c r="G91" s="3"/>
      <c r="H91" s="3"/>
      <c r="I91" s="30"/>
      <c r="J91" s="30"/>
      <c r="K91" s="30"/>
      <c r="L91" s="30"/>
      <c r="M91" s="30"/>
      <c r="N91" s="30"/>
      <c r="O91" s="30"/>
      <c r="P91" s="3"/>
    </row>
    <row r="92" spans="6:16" ht="15">
      <c r="F92" s="3"/>
      <c r="G92" s="3"/>
      <c r="H92" s="3"/>
      <c r="I92" s="30"/>
      <c r="J92" s="30"/>
      <c r="K92" s="30"/>
      <c r="L92" s="30"/>
      <c r="M92" s="30"/>
      <c r="N92" s="30"/>
      <c r="O92" s="30"/>
      <c r="P92" s="3"/>
    </row>
    <row r="93" spans="6:16" ht="15">
      <c r="F93" s="3"/>
      <c r="G93" s="3"/>
      <c r="H93" s="3"/>
      <c r="I93" s="30"/>
      <c r="J93" s="30"/>
      <c r="K93" s="30"/>
      <c r="L93" s="30"/>
      <c r="M93" s="30"/>
      <c r="N93" s="30"/>
      <c r="O93" s="30"/>
      <c r="P93" s="3"/>
    </row>
    <row r="94" spans="6:16" ht="15">
      <c r="F94" s="3"/>
      <c r="G94" s="3"/>
      <c r="H94" s="3"/>
      <c r="I94" s="30"/>
      <c r="J94" s="30"/>
      <c r="K94" s="30"/>
      <c r="L94" s="30"/>
      <c r="M94" s="30"/>
      <c r="N94" s="30"/>
      <c r="O94" s="30"/>
      <c r="P94" s="3"/>
    </row>
    <row r="95" spans="6:16" ht="1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6:16" ht="1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6:16" ht="1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sheetProtection password="DCE5" sheet="1"/>
  <mergeCells count="6">
    <mergeCell ref="S2:U2"/>
    <mergeCell ref="V2:X2"/>
    <mergeCell ref="Y2:AA2"/>
    <mergeCell ref="H62:J62"/>
    <mergeCell ref="K62:M62"/>
    <mergeCell ref="N62:P6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2020-04-29T19:21:25Z</dcterms:modified>
  <cp:category/>
  <cp:version/>
  <cp:contentType/>
  <cp:contentStatus/>
</cp:coreProperties>
</file>