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65491" windowWidth="19155" windowHeight="12540" firstSheet="2" activeTab="2"/>
  </bookViews>
  <sheets>
    <sheet name="A2M6" sheetId="1" state="hidden" r:id="rId1"/>
    <sheet name="AY16" sheetId="2" state="hidden" r:id="rId2"/>
    <sheet name="AY17" sheetId="3" r:id="rId3"/>
  </sheets>
  <definedNames>
    <definedName name="_72hs" localSheetId="1">'AY16'!#REF!</definedName>
    <definedName name="_72hs" localSheetId="2">'AY17'!#REF!</definedName>
    <definedName name="_72hs">'A2M6'!#REF!</definedName>
    <definedName name="_9_Oct_06" localSheetId="1">'AY16'!#REF!</definedName>
    <definedName name="_9_Oct_06" localSheetId="2">'AY17'!#REF!</definedName>
    <definedName name="_9_Oct_06">'A2M6'!$B$25</definedName>
    <definedName name="AmortImpagas" localSheetId="1">'AY16'!#REF!</definedName>
    <definedName name="AmortImpagas" localSheetId="2">'AY17'!#REF!</definedName>
    <definedName name="AmortImpagas">'A2M6'!#REF!</definedName>
    <definedName name="amortizaciones" localSheetId="1">'AY16'!$E$22:$E$26</definedName>
    <definedName name="amortizaciones" localSheetId="2">'AY17'!$F$21:$F$25</definedName>
    <definedName name="amortizaciones">'A2M6'!$E$21:$E$25</definedName>
    <definedName name="BCBA" localSheetId="1">'AY16'!#REF!</definedName>
    <definedName name="BCBA" localSheetId="2">'AY17'!#REF!</definedName>
    <definedName name="BCBA">'A2M6'!#REF!</definedName>
    <definedName name="ca" localSheetId="1">'AY16'!#REF!</definedName>
    <definedName name="ca" localSheetId="2">'AY17'!#REF!</definedName>
    <definedName name="ca">'A2M6'!#REF!</definedName>
    <definedName name="cierre" localSheetId="1">'AY16'!$E$9</definedName>
    <definedName name="cierre" localSheetId="2">'AY17'!$F$10</definedName>
    <definedName name="cierre">'A2M6'!$E$8</definedName>
    <definedName name="CODIGO" localSheetId="1">'AY16'!$L$8</definedName>
    <definedName name="CODIGO" localSheetId="2">'AY17'!#REF!</definedName>
    <definedName name="CODIGO">'A2M6'!$L$7</definedName>
    <definedName name="CONV" localSheetId="1">'AY16'!$O$19</definedName>
    <definedName name="CONV" localSheetId="2">'AY17'!$P$18</definedName>
    <definedName name="CONV">'A2M6'!$O$18</definedName>
    <definedName name="CRITERIA" localSheetId="0">'A2M6'!$E$4:$E$5</definedName>
    <definedName name="CRITERIA" localSheetId="1">'AY16'!$E$5:$E$6</definedName>
    <definedName name="CRITERIA" localSheetId="2">'AY17'!#REF!</definedName>
    <definedName name="Criteria2" localSheetId="1">'AY16'!$K$7:$K$8</definedName>
    <definedName name="Criteria2" localSheetId="2">'AY17'!#REF!</definedName>
    <definedName name="Criteria2">'A2M6'!$K$6:$K$7</definedName>
    <definedName name="dias" localSheetId="1">'AY16'!$C$22:$C$25</definedName>
    <definedName name="dias" localSheetId="2">'AY17'!$C$21:$C$24</definedName>
    <definedName name="dias">'A2M6'!$C$21:$C$25</definedName>
    <definedName name="DM" localSheetId="1">'AY16'!$M$22</definedName>
    <definedName name="DM" localSheetId="2">'AY17'!$N$21</definedName>
    <definedName name="DM">'A2M6'!$M$21</definedName>
    <definedName name="DUR" localSheetId="1">'AY16'!$L$26</definedName>
    <definedName name="DUR" localSheetId="2">'AY17'!$M$26</definedName>
    <definedName name="DUR">'A2M6'!$L$25</definedName>
    <definedName name="ESP" localSheetId="1">'AY16'!#REF!</definedName>
    <definedName name="ESP" localSheetId="2">'AY17'!#REF!</definedName>
    <definedName name="ESP">'A2M6'!#REF!</definedName>
    <definedName name="FechaDefault" localSheetId="1">'AY16'!#REF!</definedName>
    <definedName name="FechaDefault" localSheetId="2">'AY17'!#REF!</definedName>
    <definedName name="FechaDefault">'A2M6'!#REF!</definedName>
    <definedName name="FechaHoy" localSheetId="1">'AY16'!$I$9</definedName>
    <definedName name="FechaHoy" localSheetId="2">'AY17'!$J$6</definedName>
    <definedName name="FechaHoy">'A2M6'!$I$8</definedName>
    <definedName name="Fechas" localSheetId="1">'AY16'!$B$22:$B$26</definedName>
    <definedName name="Fechas" localSheetId="2">'AY17'!$B$21:$B$25</definedName>
    <definedName name="Fechas">'A2M6'!$B$21:$B$25</definedName>
    <definedName name="FePerAnt" localSheetId="1">'AY16'!#REF!</definedName>
    <definedName name="FePerAnt" localSheetId="2">'AY17'!#REF!</definedName>
    <definedName name="FePerAnt">'A2M6'!#REF!</definedName>
    <definedName name="FePerProx" localSheetId="1">'AY16'!#REF!</definedName>
    <definedName name="FePerProx" localSheetId="2">'AY17'!#REF!</definedName>
    <definedName name="FePerProx">'A2M6'!#REF!</definedName>
    <definedName name="FeUltCot" localSheetId="1">'AY16'!#REF!</definedName>
    <definedName name="FeUltCot" localSheetId="2">'AY17'!#REF!</definedName>
    <definedName name="FeUltCot">'A2M6'!#REF!</definedName>
    <definedName name="Flow" localSheetId="1">'AY16'!$G$22:$G$26</definedName>
    <definedName name="Flow" localSheetId="2">'AY17'!$H$21:$H$25</definedName>
    <definedName name="Flow">'A2M6'!$G$21:$G$25</definedName>
    <definedName name="HoraConc" localSheetId="1">'AY16'!#REF!</definedName>
    <definedName name="HoraConc" localSheetId="2">'AY17'!#REF!</definedName>
    <definedName name="HoraConc">'A2M6'!#REF!</definedName>
    <definedName name="i" localSheetId="1">'AY16'!$E$10</definedName>
    <definedName name="i" localSheetId="2">'AY17'!$F$9</definedName>
    <definedName name="i">'A2M6'!$E$9</definedName>
    <definedName name="i.corr" localSheetId="1">'AY16'!#REF!</definedName>
    <definedName name="i.corr" localSheetId="2">'AY17'!#REF!</definedName>
    <definedName name="i.corr">'A2M6'!#REF!</definedName>
    <definedName name="LIBOR" localSheetId="1">'AY16'!$E$11</definedName>
    <definedName name="LIBOR" localSheetId="2">'AY17'!#REF!</definedName>
    <definedName name="LIBOR">'A2M6'!$E$10</definedName>
    <definedName name="MAE" localSheetId="1">'AY16'!#REF!</definedName>
    <definedName name="MAE" localSheetId="2">'AY17'!#REF!</definedName>
    <definedName name="MAE">'A2M6'!#REF!</definedName>
    <definedName name="MERCADO" localSheetId="1">'AY16'!$G$8</definedName>
    <definedName name="MERCADO" localSheetId="2">'AY17'!#REF!</definedName>
    <definedName name="MERCADO">'A2M6'!$G$7</definedName>
    <definedName name="NYSE" localSheetId="1">'AY16'!#REF!</definedName>
    <definedName name="NYSE" localSheetId="2">'AY17'!#REF!</definedName>
    <definedName name="NYSE">'A2M6'!#REF!</definedName>
    <definedName name="PAGO" localSheetId="1">'AY16'!$J$26</definedName>
    <definedName name="PAGO" localSheetId="2">'AY17'!$K$26</definedName>
    <definedName name="PAGO">'A2M6'!$J$25</definedName>
    <definedName name="PARIDAD" localSheetId="1">'AY16'!#REF!</definedName>
    <definedName name="PARIDAD" localSheetId="2">'AY17'!#REF!</definedName>
    <definedName name="PARIDAD">'A2M6'!#REF!</definedName>
    <definedName name="PEGAR" localSheetId="1">'AY16'!#REF!</definedName>
    <definedName name="PEGAR" localSheetId="2">'AY17'!#REF!</definedName>
    <definedName name="PEGAR">'A2M6'!#REF!</definedName>
    <definedName name="PEGAR_DM" localSheetId="1">'AY16'!#REF!</definedName>
    <definedName name="PEGAR_DM" localSheetId="2">'AY17'!#REF!</definedName>
    <definedName name="PEGAR_DM">'A2M6'!#REF!</definedName>
    <definedName name="PEGAR_INTERES" localSheetId="1">'AY16'!#REF!</definedName>
    <definedName name="PEGAR_INTERES" localSheetId="2">'AY17'!#REF!</definedName>
    <definedName name="PEGAR_INTERES">'A2M6'!#REF!</definedName>
    <definedName name="PEGAR_PARIDAD" localSheetId="1">'AY16'!#REF!</definedName>
    <definedName name="PEGAR_PARIDAD" localSheetId="2">'AY17'!#REF!</definedName>
    <definedName name="PEGAR_PARIDAD">'A2M6'!#REF!</definedName>
    <definedName name="PEGAR_PRE" localSheetId="1">'AY16'!#REF!</definedName>
    <definedName name="PEGAR_PRE" localSheetId="2">'AY17'!#REF!</definedName>
    <definedName name="PEGAR_PRE">'A2M6'!#REF!</definedName>
    <definedName name="PEGAR_RENTA" localSheetId="1">'AY16'!#REF!</definedName>
    <definedName name="PEGAR_RENTA" localSheetId="2">'AY17'!#REF!</definedName>
    <definedName name="PEGAR_RENTA">'A2M6'!#REF!</definedName>
    <definedName name="PEGAR_TIR" localSheetId="1">'AY16'!#REF!</definedName>
    <definedName name="PEGAR_TIR" localSheetId="2">'AY17'!#REF!</definedName>
    <definedName name="PEGAR_TIR">'A2M6'!#REF!</definedName>
    <definedName name="PEGAR_VR" localSheetId="1">'AY16'!#REF!</definedName>
    <definedName name="PEGAR_VR" localSheetId="2">'AY17'!#REF!</definedName>
    <definedName name="PEGAR_VR">'A2M6'!#REF!</definedName>
    <definedName name="PEGAR_VT" localSheetId="1">'AY16'!#REF!</definedName>
    <definedName name="PEGAR_VT" localSheetId="2">'AY17'!#REF!</definedName>
    <definedName name="PEGAR_VT">'A2M6'!#REF!</definedName>
    <definedName name="PerFechaActual" localSheetId="1">'AY16'!$B$21:$AD$21</definedName>
    <definedName name="PerFechaActual" localSheetId="2">'AY17'!$B$20:$AE$20</definedName>
    <definedName name="PerFechaActual">'A2M6'!$B$20:$AD$20</definedName>
    <definedName name="PerFechas" localSheetId="1">'AY16'!$B$22:$B$25</definedName>
    <definedName name="PerFechas" localSheetId="2">'AY17'!$B$21:$B$24</definedName>
    <definedName name="PerFechas">'A2M6'!$B$21:$B$25</definedName>
    <definedName name="PerFinal" localSheetId="1">'AY16'!$B$25:$R$25</definedName>
    <definedName name="PerFinal" localSheetId="2">'AY17'!$B$24:$S$24</definedName>
    <definedName name="PerFinal">'A2M6'!$B$24:$R$24</definedName>
    <definedName name="PPV" localSheetId="1">'AY16'!$K$28</definedName>
    <definedName name="PPV" localSheetId="2">'AY17'!$L$28</definedName>
    <definedName name="PPV">'A2M6'!$K$27</definedName>
    <definedName name="_xlnm.Print_Area" localSheetId="0">'A2M6'!$B$18:$M$26</definedName>
    <definedName name="_xlnm.Print_Area" localSheetId="1">'AY16'!$B$1:$R$29</definedName>
    <definedName name="_xlnm.Print_Area" localSheetId="2">'AY17'!$B$1:$S$29</definedName>
    <definedName name="PZO" localSheetId="1">'AY16'!$G$10</definedName>
    <definedName name="PZO" localSheetId="2">'AY17'!#REF!</definedName>
    <definedName name="PZO">'A2M6'!$G$9</definedName>
    <definedName name="RDM" localSheetId="1">'AY16'!$E$13</definedName>
    <definedName name="RDM" localSheetId="2">'AY17'!$F$13</definedName>
    <definedName name="RDM">'A2M6'!$E$12</definedName>
    <definedName name="rentas" localSheetId="1">'AY16'!$F$22:$F$25</definedName>
    <definedName name="rentas" localSheetId="2">'AY17'!$G$21:$G$24</definedName>
    <definedName name="rentas">'A2M6'!$F$21:$F$25</definedName>
    <definedName name="Reut" localSheetId="1">'AY16'!#REF!</definedName>
    <definedName name="Reut" localSheetId="2">'AY17'!#REF!</definedName>
    <definedName name="Reut">'A2M6'!#REF!</definedName>
    <definedName name="RPPV" localSheetId="1">'AY16'!$E$14</definedName>
    <definedName name="RPPV" localSheetId="2">'AY17'!$F$14</definedName>
    <definedName name="RPPV">'A2M6'!$E$13</definedName>
    <definedName name="SPD_L" localSheetId="1">'AY16'!#REF!</definedName>
    <definedName name="SPD_L" localSheetId="2">'AY17'!#REF!</definedName>
    <definedName name="SPD_L">'A2M6'!#REF!</definedName>
    <definedName name="SPD_T" localSheetId="1">'AY16'!#REF!</definedName>
    <definedName name="SPD_T" localSheetId="2">'AY17'!#REF!</definedName>
    <definedName name="SPD_T">'A2M6'!#REF!</definedName>
    <definedName name="T" localSheetId="1">'AY16'!$E$12</definedName>
    <definedName name="T" localSheetId="2">'AY17'!$F$11</definedName>
    <definedName name="T">'A2M6'!$E$11</definedName>
    <definedName name="T_LIB" localSheetId="1">'AY16'!#REF!</definedName>
    <definedName name="T_LIB" localSheetId="2">'AY17'!#REF!</definedName>
    <definedName name="T_LIB">'A2M6'!#REF!</definedName>
    <definedName name="TIPODEPAGO" localSheetId="1">'AY16'!#REF!</definedName>
    <definedName name="TIPODEPAGO" localSheetId="2">'AY17'!#REF!</definedName>
    <definedName name="TIPODEPAGO">'A2M6'!#REF!</definedName>
    <definedName name="ULTCOT" localSheetId="1">'AY16'!#REF!</definedName>
    <definedName name="ULTCOT" localSheetId="2">'AY17'!#REF!</definedName>
    <definedName name="ULTCOT">'A2M6'!#REF!</definedName>
    <definedName name="UltPrecio" localSheetId="1">'AY16'!#REF!</definedName>
    <definedName name="UltPrecio" localSheetId="2">'AY17'!#REF!</definedName>
    <definedName name="UltPrecio">'A2M6'!#REF!</definedName>
    <definedName name="VP" localSheetId="1">'AY16'!#REF!</definedName>
    <definedName name="VP" localSheetId="2">'AY17'!#REF!</definedName>
    <definedName name="VP">'A2M6'!$I$25</definedName>
    <definedName name="VR" localSheetId="1">'AY16'!#REF!</definedName>
    <definedName name="VR" localSheetId="2">'AY17'!#REF!</definedName>
    <definedName name="VR">'A2M6'!#REF!</definedName>
    <definedName name="VRANT" localSheetId="1">'AY16'!#REF!</definedName>
    <definedName name="VRANT" localSheetId="2">'AY17'!#REF!</definedName>
    <definedName name="VRANT">'A2M6'!#REF!</definedName>
    <definedName name="vt" localSheetId="1">'AY16'!#REF!</definedName>
    <definedName name="vt" localSheetId="2">'AY17'!#REF!</definedName>
    <definedName name="vt">'A2M6'!#REF!</definedName>
    <definedName name="YIELD" localSheetId="1">'AY16'!#REF!</definedName>
    <definedName name="YIELD" localSheetId="2">'AY17'!#REF!</definedName>
    <definedName name="YIELD">'A2M6'!#REF!</definedName>
  </definedNames>
  <calcPr fullCalcOnLoad="1"/>
</workbook>
</file>

<file path=xl/sharedStrings.xml><?xml version="1.0" encoding="utf-8"?>
<sst xmlns="http://schemas.openxmlformats.org/spreadsheetml/2006/main" count="100" uniqueCount="45">
  <si>
    <t>TITULO</t>
  </si>
  <si>
    <t>PROMEDIO PONDERADO DE VIDA (AÑOS)</t>
  </si>
  <si>
    <t>DURATION MODIFICADA (AÑOS)</t>
  </si>
  <si>
    <t>CONVEXITY</t>
  </si>
  <si>
    <t>Amortiz</t>
  </si>
  <si>
    <t>Renta</t>
  </si>
  <si>
    <t>(1)</t>
  </si>
  <si>
    <t>(2)</t>
  </si>
  <si>
    <t>(3)</t>
  </si>
  <si>
    <t>(4)=(2)/(3)</t>
  </si>
  <si>
    <t>Fecha</t>
  </si>
  <si>
    <t>FECHA DE LICITACIÓN</t>
  </si>
  <si>
    <t>FECHA DE LIQUIDACIÓN</t>
  </si>
  <si>
    <t>PRECIO DE CORTE</t>
  </si>
  <si>
    <t>RENTA ANUAL</t>
  </si>
  <si>
    <t>Total</t>
  </si>
  <si>
    <t>Vida
Promedio</t>
  </si>
  <si>
    <t>Pago
Descontado</t>
  </si>
  <si>
    <t>Ponderador</t>
  </si>
  <si>
    <t>Duration</t>
  </si>
  <si>
    <t>Duration
Modificada</t>
  </si>
  <si>
    <t>DURATION Y DURATION MODIFICADA</t>
  </si>
  <si>
    <t>Valor
Residual</t>
  </si>
  <si>
    <t>FLUJO DE FONDOS</t>
  </si>
  <si>
    <t>Vida Promedio del Bono:</t>
  </si>
  <si>
    <t>CÁLCULO DE CONVEXIDAD (CONVEXITY)</t>
  </si>
  <si>
    <t>A2M6 (BONAC MARZO 2016)</t>
  </si>
  <si>
    <t>PRECIO A INGRESAR EN LA SUBASTA (En $ c/ 1.000 VN)</t>
  </si>
  <si>
    <r>
      <t>Flujo de Fondos</t>
    </r>
    <r>
      <rPr>
        <b/>
        <vertAlign val="superscript"/>
        <sz val="9"/>
        <color indexed="9"/>
        <rFont val="Geneva"/>
        <family val="0"/>
      </rPr>
      <t xml:space="preserve"> c/ </t>
    </r>
    <r>
      <rPr>
        <b/>
        <sz val="9"/>
        <color indexed="9"/>
        <rFont val="Geneva"/>
        <family val="0"/>
      </rPr>
      <t>$1.000 VNO</t>
    </r>
  </si>
  <si>
    <t>DÍAS</t>
  </si>
  <si>
    <t>T.I.R. (Efectiva Anual en $)</t>
  </si>
  <si>
    <t>INSTITUTO ARGENTINO DE
MERCADO DE CAPITALES</t>
  </si>
  <si>
    <t>CALCULADORA DE FLUJO DE FONDOS E INDICADORES</t>
  </si>
  <si>
    <t>BONAC MAYO 2016 (AY16)</t>
  </si>
  <si>
    <t>CARGAR AQUÍ PRECIO A OFERTAR en SUBASTA (c/VN$1.000)</t>
  </si>
  <si>
    <t>RENTA ANUAL*</t>
  </si>
  <si>
    <t>Tasa de Cupón</t>
  </si>
  <si>
    <t>(Anual)</t>
  </si>
  <si>
    <t>BONAC MAYO 2017 (AY17 - A Confirmar)</t>
  </si>
  <si>
    <t>(*) Se tomó la tasa de Lebac 98 días para la licitación del martes 26-Abr-16.</t>
  </si>
  <si>
    <t>Celdas para cargar valores</t>
  </si>
  <si>
    <r>
      <t xml:space="preserve">T.I.R. Efectiva Anual en $ </t>
    </r>
    <r>
      <rPr>
        <b/>
        <vertAlign val="superscript"/>
        <sz val="11"/>
        <color indexed="10"/>
        <rFont val="Calibri"/>
        <family val="2"/>
      </rPr>
      <t>(**)</t>
    </r>
  </si>
  <si>
    <r>
      <t>Flujo de Fondos</t>
    </r>
    <r>
      <rPr>
        <b/>
        <vertAlign val="superscript"/>
        <sz val="11"/>
        <color indexed="9"/>
        <rFont val="Calibri"/>
        <family val="2"/>
      </rPr>
      <t xml:space="preserve"> c/ </t>
    </r>
    <r>
      <rPr>
        <b/>
        <sz val="11"/>
        <color indexed="9"/>
        <rFont val="Calibri"/>
        <family val="2"/>
      </rPr>
      <t>$1.000 VNO</t>
    </r>
  </si>
  <si>
    <t>(**) Como la TIR se calcula en base efectiva anual y el bono realiza pagos trimestrales, la TIR será distinta que la tasa de cupón para un precio a la par.</t>
  </si>
  <si>
    <t>Rendimiento Nominal Anual (T.N.A.)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</si>
</sst>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d/m/yy"/>
    <numFmt numFmtId="179" formatCode="m/d"/>
    <numFmt numFmtId="180" formatCode="#,##0&quot;$&quot;"/>
    <numFmt numFmtId="181" formatCode="#,##0.0"/>
    <numFmt numFmtId="182" formatCode="#,##0.0000"/>
    <numFmt numFmtId="183" formatCode="#,##0.000"/>
    <numFmt numFmtId="184" formatCode="#,##0.00%"/>
    <numFmt numFmtId="185" formatCode="#,###"/>
    <numFmt numFmtId="186" formatCode="0.000"/>
    <numFmt numFmtId="187" formatCode="d\-mmm\-yyyy"/>
    <numFmt numFmtId="188" formatCode="0.0000"/>
    <numFmt numFmtId="189" formatCode="0.0%"/>
    <numFmt numFmtId="190" formatCode="0.0"/>
    <numFmt numFmtId="191" formatCode="0.0000000"/>
    <numFmt numFmtId="192" formatCode="0.000000"/>
    <numFmt numFmtId="193" formatCode="0.00000"/>
    <numFmt numFmtId="194" formatCode="0.000%"/>
    <numFmt numFmtId="195" formatCode="#,##0.00000_);[Red]\(#,##0.00000\)"/>
    <numFmt numFmtId="196" formatCode="0.00000%"/>
    <numFmt numFmtId="197" formatCode="0.0000%"/>
    <numFmt numFmtId="198" formatCode="#,##0.00000"/>
    <numFmt numFmtId="199" formatCode="0.00000000"/>
    <numFmt numFmtId="200" formatCode="0.000000000"/>
    <numFmt numFmtId="201" formatCode="0.0000000000"/>
    <numFmt numFmtId="202" formatCode="0.00000000000"/>
    <numFmt numFmtId="203" formatCode="#,##0.0000_);[Red]\(#,##0.0000\)"/>
    <numFmt numFmtId="204" formatCode="#,##0.000_);[Red]\(#,##0.000\)"/>
    <numFmt numFmtId="205" formatCode="#,##0.0%"/>
    <numFmt numFmtId="206" formatCode="#,##0.000000"/>
    <numFmt numFmtId="207" formatCode="#,##0.000000_);[Red]\(#,##0.000000\)"/>
    <numFmt numFmtId="208" formatCode="#,##0.0000000_);[Red]\(#,##0.0000000\)"/>
    <numFmt numFmtId="209" formatCode="#,##0.0_);[Red]\(#,##0.0\)"/>
    <numFmt numFmtId="210" formatCode="0.000000%"/>
    <numFmt numFmtId="211" formatCode="mmm\-yyyy"/>
    <numFmt numFmtId="212" formatCode="&quot;$&quot;#,##0.0000"/>
    <numFmt numFmtId="213" formatCode="&quot;$&quot;#,##0.000"/>
    <numFmt numFmtId="214" formatCode="&quot;$&quot;#,##0.00"/>
    <numFmt numFmtId="215" formatCode="[$USD]\ #,##0.00"/>
    <numFmt numFmtId="216" formatCode="[$$-2C0A]\ #,##0.00"/>
    <numFmt numFmtId="217" formatCode="&quot;$&quot;#,##0.000_);[Red]\(&quot;$&quot;#,##0.000\)"/>
    <numFmt numFmtId="218" formatCode="#,##0.0&quot;$&quot;"/>
    <numFmt numFmtId="219" formatCode="#,##0.00&quot;$&quot;"/>
    <numFmt numFmtId="220" formatCode="#,##0.000&quot;$&quot;"/>
    <numFmt numFmtId="221" formatCode="#,##0.0000&quot;$&quot;"/>
    <numFmt numFmtId="222" formatCode="#,##0.00000&quot;$&quot;"/>
    <numFmt numFmtId="223" formatCode="#,##0.000000&quot;$&quot;"/>
    <numFmt numFmtId="224" formatCode="[$$-2C0A]\ #,##0.000"/>
    <numFmt numFmtId="225" formatCode="[$$-2C0A]\ #,##0.0000"/>
    <numFmt numFmtId="226" formatCode="&quot;$&quot;#,##0.0000_);[Red]\(&quot;$&quot;#,##0.0000\)"/>
    <numFmt numFmtId="227" formatCode="[$$-2C0A]\ #,##0.00000"/>
  </numFmts>
  <fonts count="9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u val="single"/>
      <sz val="16"/>
      <color indexed="12"/>
      <name val="Geneva"/>
      <family val="0"/>
    </font>
    <font>
      <sz val="9"/>
      <color indexed="9"/>
      <name val="Geneva"/>
      <family val="0"/>
    </font>
    <font>
      <b/>
      <u val="single"/>
      <sz val="15"/>
      <color indexed="9"/>
      <name val="Geneva"/>
      <family val="0"/>
    </font>
    <font>
      <b/>
      <i/>
      <sz val="10"/>
      <color indexed="17"/>
      <name val="Geneva"/>
      <family val="0"/>
    </font>
    <font>
      <sz val="10"/>
      <color indexed="17"/>
      <name val="Geneva"/>
      <family val="0"/>
    </font>
    <font>
      <i/>
      <sz val="10"/>
      <color indexed="16"/>
      <name val="Geneva"/>
      <family val="0"/>
    </font>
    <font>
      <i/>
      <u val="single"/>
      <sz val="10"/>
      <color indexed="16"/>
      <name val="Geneva"/>
      <family val="0"/>
    </font>
    <font>
      <u val="single"/>
      <sz val="9"/>
      <name val="Geneva"/>
      <family val="0"/>
    </font>
    <font>
      <b/>
      <i/>
      <sz val="9"/>
      <color indexed="37"/>
      <name val="Geneva"/>
      <family val="0"/>
    </font>
    <font>
      <sz val="9"/>
      <color indexed="37"/>
      <name val="Geneva"/>
      <family val="0"/>
    </font>
    <font>
      <i/>
      <sz val="10"/>
      <color indexed="17"/>
      <name val="Arial"/>
      <family val="2"/>
    </font>
    <font>
      <sz val="10"/>
      <name val="Arial"/>
      <family val="2"/>
    </font>
    <font>
      <sz val="10"/>
      <color indexed="8"/>
      <name val="Geneva"/>
      <family val="0"/>
    </font>
    <font>
      <sz val="10"/>
      <color indexed="12"/>
      <name val="Geneva"/>
      <family val="0"/>
    </font>
    <font>
      <b/>
      <sz val="8"/>
      <name val="Geneva"/>
      <family val="0"/>
    </font>
    <font>
      <sz val="9"/>
      <name val="Arial"/>
      <family val="2"/>
    </font>
    <font>
      <sz val="9"/>
      <color indexed="8"/>
      <name val="Geneva"/>
      <family val="0"/>
    </font>
    <font>
      <sz val="8"/>
      <name val="Geneva"/>
      <family val="0"/>
    </font>
    <font>
      <sz val="10"/>
      <color indexed="10"/>
      <name val="Geneva"/>
      <family val="0"/>
    </font>
    <font>
      <sz val="10"/>
      <color indexed="18"/>
      <name val="Arial"/>
      <family val="2"/>
    </font>
    <font>
      <b/>
      <u val="single"/>
      <sz val="9"/>
      <color indexed="20"/>
      <name val="Geneva"/>
      <family val="0"/>
    </font>
    <font>
      <b/>
      <i/>
      <u val="single"/>
      <sz val="10"/>
      <color indexed="16"/>
      <name val="Geneva"/>
      <family val="0"/>
    </font>
    <font>
      <b/>
      <sz val="10"/>
      <name val="Geneva"/>
      <family val="0"/>
    </font>
    <font>
      <b/>
      <sz val="9"/>
      <color indexed="9"/>
      <name val="Geneva"/>
      <family val="0"/>
    </font>
    <font>
      <b/>
      <sz val="10"/>
      <color indexed="9"/>
      <name val="Geneva"/>
      <family val="0"/>
    </font>
    <font>
      <b/>
      <sz val="8"/>
      <color indexed="9"/>
      <name val="Geneva"/>
      <family val="0"/>
    </font>
    <font>
      <b/>
      <sz val="9"/>
      <name val="Arial"/>
      <family val="2"/>
    </font>
    <font>
      <b/>
      <vertAlign val="superscript"/>
      <sz val="9"/>
      <color indexed="9"/>
      <name val="Geneva"/>
      <family val="0"/>
    </font>
    <font>
      <b/>
      <sz val="10"/>
      <color indexed="10"/>
      <name val="Geneva"/>
      <family val="0"/>
    </font>
    <font>
      <b/>
      <sz val="10"/>
      <color indexed="12"/>
      <name val="Geneva"/>
      <family val="0"/>
    </font>
    <font>
      <b/>
      <sz val="10"/>
      <color indexed="18"/>
      <name val="Arial"/>
      <family val="2"/>
    </font>
    <font>
      <b/>
      <i/>
      <sz val="14"/>
      <color indexed="18"/>
      <name val="Geneva"/>
      <family val="0"/>
    </font>
    <font>
      <b/>
      <sz val="14"/>
      <color indexed="12"/>
      <name val="Geneva"/>
      <family val="0"/>
    </font>
    <font>
      <b/>
      <sz val="10"/>
      <color indexed="18"/>
      <name val="Geneva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4"/>
      <color indexed="1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i/>
      <sz val="11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12"/>
      <name val="Calibri"/>
      <family val="2"/>
    </font>
    <font>
      <i/>
      <sz val="11"/>
      <name val="Calibri"/>
      <family val="2"/>
    </font>
    <font>
      <b/>
      <i/>
      <sz val="11"/>
      <color indexed="17"/>
      <name val="Calibri"/>
      <family val="2"/>
    </font>
    <font>
      <u val="single"/>
      <sz val="11"/>
      <name val="Calibri"/>
      <family val="2"/>
    </font>
    <font>
      <b/>
      <u val="single"/>
      <sz val="11"/>
      <color indexed="20"/>
      <name val="Calibri"/>
      <family val="2"/>
    </font>
    <font>
      <i/>
      <sz val="11"/>
      <color indexed="17"/>
      <name val="Calibri"/>
      <family val="2"/>
    </font>
    <font>
      <b/>
      <i/>
      <sz val="11"/>
      <color indexed="37"/>
      <name val="Calibri"/>
      <family val="2"/>
    </font>
    <font>
      <b/>
      <i/>
      <u val="single"/>
      <sz val="11"/>
      <color indexed="16"/>
      <name val="Calibri"/>
      <family val="2"/>
    </font>
    <font>
      <b/>
      <sz val="11"/>
      <name val="Calibri"/>
      <family val="2"/>
    </font>
    <font>
      <b/>
      <vertAlign val="superscript"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vertAlign val="superscript"/>
      <sz val="11"/>
      <color indexed="9"/>
      <name val="Calibri"/>
      <family val="2"/>
    </font>
    <font>
      <b/>
      <sz val="16"/>
      <color indexed="1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4"/>
      <color indexed="8"/>
      <name val="Arial"/>
      <family val="0"/>
    </font>
    <font>
      <b/>
      <sz val="9"/>
      <color indexed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1" fillId="0" borderId="0" xfId="0" applyFont="1" applyBorder="1" applyAlignment="1" applyProtection="1">
      <alignment vertical="center"/>
      <protection/>
    </xf>
    <xf numFmtId="18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80" fontId="0" fillId="0" borderId="0" xfId="55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55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5" fontId="8" fillId="0" borderId="10" xfId="0" applyNumberFormat="1" applyFont="1" applyBorder="1" applyAlignment="1" applyProtection="1">
      <alignment vertical="center"/>
      <protection/>
    </xf>
    <xf numFmtId="15" fontId="9" fillId="0" borderId="10" xfId="0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vertical="center"/>
      <protection/>
    </xf>
    <xf numFmtId="180" fontId="0" fillId="0" borderId="0" xfId="0" applyNumberFormat="1" applyBorder="1" applyAlignment="1" applyProtection="1">
      <alignment vertical="center"/>
      <protection/>
    </xf>
    <xf numFmtId="15" fontId="13" fillId="0" borderId="0" xfId="0" applyNumberFormat="1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180" fontId="14" fillId="0" borderId="0" xfId="0" applyNumberFormat="1" applyFont="1" applyBorder="1" applyAlignment="1" applyProtection="1">
      <alignment vertical="center"/>
      <protection/>
    </xf>
    <xf numFmtId="15" fontId="27" fillId="33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0" fontId="17" fillId="0" borderId="11" xfId="58" applyNumberFormat="1" applyFont="1" applyBorder="1" applyAlignment="1" applyProtection="1">
      <alignment vertical="center"/>
      <protection/>
    </xf>
    <xf numFmtId="38" fontId="0" fillId="0" borderId="0" xfId="42" applyNumberFormat="1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5" fontId="16" fillId="0" borderId="0" xfId="0" applyNumberFormat="1" applyFont="1" applyAlignment="1" applyProtection="1">
      <alignment vertical="center"/>
      <protection/>
    </xf>
    <xf numFmtId="180" fontId="23" fillId="0" borderId="10" xfId="0" applyNumberFormat="1" applyFont="1" applyBorder="1" applyAlignment="1" applyProtection="1">
      <alignment vertical="center"/>
      <protection/>
    </xf>
    <xf numFmtId="180" fontId="18" fillId="0" borderId="10" xfId="0" applyNumberFormat="1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40" fontId="24" fillId="0" borderId="10" xfId="42" applyNumberFormat="1" applyFont="1" applyBorder="1" applyAlignment="1" applyProtection="1">
      <alignment vertical="center"/>
      <protection/>
    </xf>
    <xf numFmtId="40" fontId="24" fillId="0" borderId="10" xfId="42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1" fontId="0" fillId="0" borderId="0" xfId="0" applyNumberFormat="1" applyBorder="1" applyAlignment="1" applyProtection="1">
      <alignment vertical="center"/>
      <protection/>
    </xf>
    <xf numFmtId="4" fontId="0" fillId="0" borderId="0" xfId="0" applyNumberFormat="1" applyBorder="1" applyAlignment="1" applyProtection="1">
      <alignment vertical="center"/>
      <protection/>
    </xf>
    <xf numFmtId="188" fontId="0" fillId="0" borderId="0" xfId="0" applyNumberForma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88" fontId="19" fillId="0" borderId="0" xfId="0" applyNumberFormat="1" applyFont="1" applyBorder="1" applyAlignment="1" applyProtection="1">
      <alignment horizontal="right" vertical="center"/>
      <protection/>
    </xf>
    <xf numFmtId="2" fontId="19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vertical="center"/>
      <protection/>
    </xf>
    <xf numFmtId="40" fontId="1" fillId="0" borderId="0" xfId="42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188" fontId="0" fillId="0" borderId="0" xfId="0" applyNumberForma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38" fontId="21" fillId="0" borderId="0" xfId="42" applyNumberFormat="1" applyFont="1" applyFill="1" applyBorder="1" applyAlignment="1" applyProtection="1" quotePrefix="1">
      <alignment horizontal="right" vertical="center"/>
      <protection/>
    </xf>
    <xf numFmtId="183" fontId="0" fillId="0" borderId="0" xfId="0" applyNumberFormat="1" applyBorder="1" applyAlignment="1" applyProtection="1">
      <alignment vertical="center"/>
      <protection/>
    </xf>
    <xf numFmtId="38" fontId="21" fillId="0" borderId="0" xfId="42" applyNumberFormat="1" applyFont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93" fontId="20" fillId="0" borderId="0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vertical="center"/>
      <protection/>
    </xf>
    <xf numFmtId="188" fontId="20" fillId="0" borderId="0" xfId="0" applyNumberFormat="1" applyFont="1" applyFill="1" applyBorder="1" applyAlignment="1" applyProtection="1">
      <alignment vertical="center"/>
      <protection/>
    </xf>
    <xf numFmtId="204" fontId="0" fillId="0" borderId="0" xfId="42" applyNumberFormat="1" applyFont="1" applyBorder="1" applyAlignment="1" applyProtection="1">
      <alignment vertical="center"/>
      <protection/>
    </xf>
    <xf numFmtId="4" fontId="0" fillId="33" borderId="0" xfId="0" applyNumberFormat="1" applyFill="1" applyBorder="1" applyAlignment="1" applyProtection="1">
      <alignment vertical="center"/>
      <protection/>
    </xf>
    <xf numFmtId="188" fontId="20" fillId="0" borderId="0" xfId="0" applyNumberFormat="1" applyFont="1" applyBorder="1" applyAlignment="1" applyProtection="1">
      <alignment vertical="center"/>
      <protection/>
    </xf>
    <xf numFmtId="2" fontId="0" fillId="0" borderId="0" xfId="0" applyNumberFormat="1" applyFill="1" applyBorder="1" applyAlignment="1" applyProtection="1">
      <alignment vertical="center"/>
      <protection/>
    </xf>
    <xf numFmtId="193" fontId="20" fillId="0" borderId="0" xfId="0" applyNumberFormat="1" applyFont="1" applyFill="1" applyBorder="1" applyAlignment="1" applyProtection="1">
      <alignment vertical="center"/>
      <protection/>
    </xf>
    <xf numFmtId="186" fontId="20" fillId="0" borderId="0" xfId="0" applyNumberFormat="1" applyFont="1" applyFill="1" applyBorder="1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86" fontId="0" fillId="0" borderId="0" xfId="0" applyNumberFormat="1" applyAlignment="1" applyProtection="1">
      <alignment vertical="center"/>
      <protection/>
    </xf>
    <xf numFmtId="188" fontId="0" fillId="0" borderId="0" xfId="0" applyNumberForma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86" fontId="0" fillId="34" borderId="0" xfId="0" applyNumberFormat="1" applyFill="1" applyBorder="1" applyAlignment="1" applyProtection="1">
      <alignment horizontal="center" vertical="center"/>
      <protection/>
    </xf>
    <xf numFmtId="188" fontId="0" fillId="34" borderId="0" xfId="0" applyNumberFormat="1" applyFill="1" applyBorder="1" applyAlignment="1" applyProtection="1">
      <alignment horizontal="center" vertical="center"/>
      <protection/>
    </xf>
    <xf numFmtId="4" fontId="0" fillId="34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82" fontId="0" fillId="0" borderId="0" xfId="0" applyNumberFormat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 vertical="center"/>
      <protection/>
    </xf>
    <xf numFmtId="186" fontId="0" fillId="0" borderId="0" xfId="0" applyNumberFormat="1" applyAlignment="1" applyProtection="1">
      <alignment horizontal="center" vertical="center"/>
      <protection/>
    </xf>
    <xf numFmtId="188" fontId="0" fillId="0" borderId="0" xfId="0" applyNumberFormat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204" fontId="0" fillId="0" borderId="0" xfId="42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94" fontId="0" fillId="0" borderId="0" xfId="0" applyNumberFormat="1" applyAlignment="1" applyProtection="1">
      <alignment vertical="center"/>
      <protection/>
    </xf>
    <xf numFmtId="9" fontId="0" fillId="0" borderId="0" xfId="58" applyFont="1" applyBorder="1" applyAlignment="1" applyProtection="1">
      <alignment horizontal="center" vertical="center"/>
      <protection/>
    </xf>
    <xf numFmtId="15" fontId="6" fillId="0" borderId="0" xfId="0" applyNumberFormat="1" applyFont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ill="1" applyAlignment="1" applyProtection="1">
      <alignment vertical="center"/>
      <protection/>
    </xf>
    <xf numFmtId="194" fontId="0" fillId="0" borderId="0" xfId="0" applyNumberFormat="1" applyFill="1" applyAlignment="1" applyProtection="1">
      <alignment vertical="center"/>
      <protection/>
    </xf>
    <xf numFmtId="15" fontId="0" fillId="34" borderId="0" xfId="0" applyNumberFormat="1" applyFont="1" applyFill="1" applyBorder="1" applyAlignment="1" applyProtection="1">
      <alignment horizontal="center" vertical="center"/>
      <protection/>
    </xf>
    <xf numFmtId="15" fontId="0" fillId="0" borderId="0" xfId="0" applyNumberFormat="1" applyBorder="1" applyAlignment="1" applyProtection="1">
      <alignment horizontal="center" vertical="center"/>
      <protection/>
    </xf>
    <xf numFmtId="15" fontId="1" fillId="0" borderId="0" xfId="0" applyNumberFormat="1" applyFont="1" applyBorder="1" applyAlignment="1" applyProtection="1">
      <alignment horizontal="center" vertical="center"/>
      <protection/>
    </xf>
    <xf numFmtId="188" fontId="28" fillId="35" borderId="0" xfId="0" applyNumberFormat="1" applyFont="1" applyFill="1" applyBorder="1" applyAlignment="1" applyProtection="1">
      <alignment horizontal="center" vertical="center"/>
      <protection/>
    </xf>
    <xf numFmtId="4" fontId="28" fillId="35" borderId="0" xfId="0" applyNumberFormat="1" applyFont="1" applyFill="1" applyBorder="1" applyAlignment="1" applyProtection="1">
      <alignment horizontal="center" vertical="center"/>
      <protection/>
    </xf>
    <xf numFmtId="2" fontId="28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38" fontId="21" fillId="0" borderId="0" xfId="42" applyNumberFormat="1" applyFont="1" applyBorder="1" applyAlignment="1" applyProtection="1">
      <alignment horizontal="center" vertical="center"/>
      <protection/>
    </xf>
    <xf numFmtId="186" fontId="31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80" fontId="33" fillId="0" borderId="10" xfId="0" applyNumberFormat="1" applyFont="1" applyBorder="1" applyAlignment="1" applyProtection="1">
      <alignment vertical="center"/>
      <protection/>
    </xf>
    <xf numFmtId="180" fontId="34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0" fontId="35" fillId="0" borderId="10" xfId="0" applyNumberFormat="1" applyFont="1" applyBorder="1" applyAlignment="1" applyProtection="1">
      <alignment vertical="center"/>
      <protection/>
    </xf>
    <xf numFmtId="49" fontId="21" fillId="0" borderId="0" xfId="42" applyNumberFormat="1" applyFont="1" applyFill="1" applyBorder="1" applyAlignment="1" applyProtection="1">
      <alignment horizontal="center" vertical="center"/>
      <protection/>
    </xf>
    <xf numFmtId="10" fontId="0" fillId="0" borderId="0" xfId="0" applyNumberFormat="1" applyAlignment="1" applyProtection="1">
      <alignment vertical="center"/>
      <protection/>
    </xf>
    <xf numFmtId="3" fontId="0" fillId="0" borderId="0" xfId="0" applyNumberFormat="1" applyBorder="1" applyAlignment="1" applyProtection="1">
      <alignment horizontal="center" vertical="center"/>
      <protection/>
    </xf>
    <xf numFmtId="2" fontId="1" fillId="34" borderId="0" xfId="0" applyNumberFormat="1" applyFont="1" applyFill="1" applyBorder="1" applyAlignment="1" applyProtection="1">
      <alignment horizontal="center" vertical="center"/>
      <protection/>
    </xf>
    <xf numFmtId="180" fontId="27" fillId="36" borderId="10" xfId="0" applyNumberFormat="1" applyFont="1" applyFill="1" applyBorder="1" applyAlignment="1" applyProtection="1">
      <alignment vertical="center"/>
      <protection/>
    </xf>
    <xf numFmtId="0" fontId="1" fillId="36" borderId="10" xfId="0" applyFont="1" applyFill="1" applyBorder="1" applyAlignment="1" applyProtection="1">
      <alignment vertical="center"/>
      <protection/>
    </xf>
    <xf numFmtId="197" fontId="15" fillId="0" borderId="10" xfId="58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 indent="3"/>
      <protection/>
    </xf>
    <xf numFmtId="216" fontId="8" fillId="36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 horizontal="center" vertical="center"/>
    </xf>
    <xf numFmtId="217" fontId="0" fillId="0" borderId="0" xfId="0" applyNumberFormat="1" applyAlignment="1" applyProtection="1">
      <alignment vertical="center"/>
      <protection/>
    </xf>
    <xf numFmtId="9" fontId="0" fillId="0" borderId="0" xfId="58" applyFont="1" applyBorder="1" applyAlignment="1" applyProtection="1">
      <alignment horizontal="center" vertical="center"/>
      <protection/>
    </xf>
    <xf numFmtId="185" fontId="0" fillId="0" borderId="0" xfId="0" applyNumberFormat="1" applyBorder="1" applyAlignment="1" applyProtection="1">
      <alignment vertical="center"/>
      <protection/>
    </xf>
    <xf numFmtId="185" fontId="0" fillId="0" borderId="0" xfId="0" applyNumberFormat="1" applyFill="1" applyBorder="1" applyAlignment="1" applyProtection="1">
      <alignment vertical="center"/>
      <protection/>
    </xf>
    <xf numFmtId="180" fontId="5" fillId="0" borderId="0" xfId="0" applyNumberFormat="1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/>
    </xf>
    <xf numFmtId="1" fontId="0" fillId="0" borderId="12" xfId="0" applyNumberFormat="1" applyBorder="1" applyAlignment="1" applyProtection="1">
      <alignment vertical="center"/>
      <protection/>
    </xf>
    <xf numFmtId="4" fontId="0" fillId="0" borderId="12" xfId="0" applyNumberFormat="1" applyBorder="1" applyAlignment="1" applyProtection="1">
      <alignment vertical="center"/>
      <protection/>
    </xf>
    <xf numFmtId="188" fontId="0" fillId="0" borderId="12" xfId="0" applyNumberFormat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2" fontId="0" fillId="0" borderId="12" xfId="0" applyNumberFormat="1" applyBorder="1" applyAlignment="1" applyProtection="1">
      <alignment vertical="center"/>
      <protection/>
    </xf>
    <xf numFmtId="15" fontId="9" fillId="0" borderId="10" xfId="0" applyNumberFormat="1" applyFont="1" applyBorder="1" applyAlignment="1" applyProtection="1">
      <alignment vertical="center"/>
      <protection/>
    </xf>
    <xf numFmtId="216" fontId="8" fillId="36" borderId="10" xfId="0" applyNumberFormat="1" applyFont="1" applyFill="1" applyBorder="1" applyAlignment="1" applyProtection="1">
      <alignment vertical="center"/>
      <protection/>
    </xf>
    <xf numFmtId="197" fontId="15" fillId="0" borderId="10" xfId="58" applyNumberFormat="1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 hidden="1"/>
    </xf>
    <xf numFmtId="0" fontId="95" fillId="0" borderId="0" xfId="0" applyFont="1" applyFill="1" applyBorder="1" applyAlignment="1" applyProtection="1">
      <alignment vertical="center"/>
      <protection hidden="1"/>
    </xf>
    <xf numFmtId="180" fontId="46" fillId="0" borderId="10" xfId="0" applyNumberFormat="1" applyFont="1" applyBorder="1" applyAlignment="1" applyProtection="1">
      <alignment vertical="center"/>
      <protection hidden="1"/>
    </xf>
    <xf numFmtId="0" fontId="47" fillId="0" borderId="0" xfId="0" applyFont="1" applyAlignment="1" applyProtection="1">
      <alignment vertical="center"/>
      <protection hidden="1"/>
    </xf>
    <xf numFmtId="1" fontId="47" fillId="0" borderId="0" xfId="0" applyNumberFormat="1" applyFont="1" applyAlignment="1" applyProtection="1">
      <alignment vertical="center"/>
      <protection hidden="1"/>
    </xf>
    <xf numFmtId="4" fontId="47" fillId="0" borderId="0" xfId="0" applyNumberFormat="1" applyFont="1" applyAlignment="1" applyProtection="1">
      <alignment vertical="center"/>
      <protection hidden="1"/>
    </xf>
    <xf numFmtId="188" fontId="47" fillId="0" borderId="0" xfId="0" applyNumberFormat="1" applyFont="1" applyAlignment="1" applyProtection="1">
      <alignment vertical="center"/>
      <protection hidden="1"/>
    </xf>
    <xf numFmtId="0" fontId="48" fillId="0" borderId="0" xfId="0" applyFont="1" applyBorder="1" applyAlignment="1" applyProtection="1">
      <alignment horizontal="right" vertical="center" wrapText="1"/>
      <protection hidden="1"/>
    </xf>
    <xf numFmtId="2" fontId="47" fillId="0" borderId="0" xfId="0" applyNumberFormat="1" applyFont="1" applyAlignment="1" applyProtection="1">
      <alignment vertical="center"/>
      <protection hidden="1"/>
    </xf>
    <xf numFmtId="0" fontId="47" fillId="0" borderId="0" xfId="0" applyFont="1" applyFill="1" applyAlignment="1" applyProtection="1">
      <alignment vertical="center"/>
      <protection hidden="1"/>
    </xf>
    <xf numFmtId="2" fontId="47" fillId="0" borderId="0" xfId="0" applyNumberFormat="1" applyFont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47" fillId="0" borderId="0" xfId="0" applyFont="1" applyFill="1" applyBorder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85" fontId="47" fillId="0" borderId="0" xfId="0" applyNumberFormat="1" applyFont="1" applyFill="1" applyBorder="1" applyAlignment="1" applyProtection="1">
      <alignment vertical="center"/>
      <protection hidden="1"/>
    </xf>
    <xf numFmtId="180" fontId="47" fillId="0" borderId="0" xfId="0" applyNumberFormat="1" applyFont="1" applyAlignment="1" applyProtection="1">
      <alignment vertical="center"/>
      <protection hidden="1"/>
    </xf>
    <xf numFmtId="180" fontId="50" fillId="0" borderId="0" xfId="0" applyNumberFormat="1" applyFont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180" fontId="47" fillId="0" borderId="10" xfId="0" applyNumberFormat="1" applyFont="1" applyBorder="1" applyAlignment="1" applyProtection="1">
      <alignment vertical="center"/>
      <protection hidden="1"/>
    </xf>
    <xf numFmtId="15" fontId="52" fillId="0" borderId="10" xfId="0" applyNumberFormat="1" applyFont="1" applyBorder="1" applyAlignment="1" applyProtection="1">
      <alignment vertical="center"/>
      <protection hidden="1"/>
    </xf>
    <xf numFmtId="15" fontId="39" fillId="0" borderId="10" xfId="0" applyNumberFormat="1" applyFont="1" applyBorder="1" applyAlignment="1" applyProtection="1">
      <alignment vertical="center"/>
      <protection locked="0"/>
    </xf>
    <xf numFmtId="223" fontId="47" fillId="37" borderId="0" xfId="0" applyNumberFormat="1" applyFont="1" applyFill="1" applyBorder="1" applyAlignment="1" applyProtection="1">
      <alignment vertical="center"/>
      <protection hidden="1"/>
    </xf>
    <xf numFmtId="0" fontId="47" fillId="0" borderId="0" xfId="55" applyFont="1" applyFill="1" applyBorder="1" applyAlignment="1" applyProtection="1">
      <alignment vertical="center"/>
      <protection hidden="1"/>
    </xf>
    <xf numFmtId="2" fontId="47" fillId="0" borderId="0" xfId="0" applyNumberFormat="1" applyFont="1" applyFill="1" applyBorder="1" applyAlignment="1" applyProtection="1">
      <alignment vertical="center"/>
      <protection hidden="1"/>
    </xf>
    <xf numFmtId="8" fontId="47" fillId="0" borderId="0" xfId="44" applyFont="1" applyFill="1" applyBorder="1" applyAlignment="1" applyProtection="1">
      <alignment vertical="center"/>
      <protection hidden="1"/>
    </xf>
    <xf numFmtId="180" fontId="47" fillId="0" borderId="0" xfId="0" applyNumberFormat="1" applyFont="1" applyFill="1" applyBorder="1" applyAlignment="1" applyProtection="1">
      <alignment vertical="center"/>
      <protection hidden="1"/>
    </xf>
    <xf numFmtId="180" fontId="53" fillId="0" borderId="0" xfId="0" applyNumberFormat="1" applyFont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horizontal="left" vertical="center"/>
      <protection hidden="1"/>
    </xf>
    <xf numFmtId="180" fontId="47" fillId="0" borderId="0" xfId="0" applyNumberFormat="1" applyFont="1" applyBorder="1" applyAlignment="1" applyProtection="1">
      <alignment vertical="center"/>
      <protection hidden="1"/>
    </xf>
    <xf numFmtId="0" fontId="47" fillId="0" borderId="10" xfId="0" applyFont="1" applyBorder="1" applyAlignment="1" applyProtection="1">
      <alignment vertical="center"/>
      <protection hidden="1"/>
    </xf>
    <xf numFmtId="197" fontId="55" fillId="0" borderId="10" xfId="58" applyNumberFormat="1" applyFont="1" applyBorder="1" applyAlignment="1" applyProtection="1">
      <alignment vertical="center"/>
      <protection locked="0"/>
    </xf>
    <xf numFmtId="15" fontId="56" fillId="0" borderId="0" xfId="0" applyNumberFormat="1" applyFont="1" applyBorder="1" applyAlignment="1" applyProtection="1">
      <alignment vertical="center"/>
      <protection hidden="1"/>
    </xf>
    <xf numFmtId="0" fontId="57" fillId="0" borderId="0" xfId="0" applyFont="1" applyFill="1" applyBorder="1" applyAlignment="1" applyProtection="1">
      <alignment horizontal="left" vertical="center"/>
      <protection hidden="1"/>
    </xf>
    <xf numFmtId="216" fontId="52" fillId="36" borderId="10" xfId="0" applyNumberFormat="1" applyFont="1" applyFill="1" applyBorder="1" applyAlignment="1" applyProtection="1">
      <alignment vertical="center"/>
      <protection locked="0"/>
    </xf>
    <xf numFmtId="180" fontId="50" fillId="0" borderId="10" xfId="0" applyNumberFormat="1" applyFont="1" applyBorder="1" applyAlignment="1" applyProtection="1">
      <alignment vertical="center"/>
      <protection hidden="1"/>
    </xf>
    <xf numFmtId="0" fontId="58" fillId="0" borderId="10" xfId="0" applyFont="1" applyBorder="1" applyAlignment="1" applyProtection="1">
      <alignment vertical="center"/>
      <protection hidden="1"/>
    </xf>
    <xf numFmtId="189" fontId="49" fillId="0" borderId="10" xfId="0" applyNumberFormat="1" applyFont="1" applyBorder="1" applyAlignment="1" applyProtection="1">
      <alignment vertical="center"/>
      <protection hidden="1"/>
    </xf>
    <xf numFmtId="10" fontId="47" fillId="0" borderId="0" xfId="0" applyNumberFormat="1" applyFont="1" applyAlignment="1" applyProtection="1">
      <alignment vertical="center"/>
      <protection hidden="1"/>
    </xf>
    <xf numFmtId="180" fontId="46" fillId="0" borderId="0" xfId="55" applyNumberFormat="1" applyFont="1" applyFill="1" applyBorder="1" applyAlignment="1" applyProtection="1">
      <alignment horizontal="center" vertical="center" wrapText="1"/>
      <protection hidden="1"/>
    </xf>
    <xf numFmtId="15" fontId="47" fillId="0" borderId="0" xfId="0" applyNumberFormat="1" applyFont="1" applyAlignment="1" applyProtection="1">
      <alignment vertical="center"/>
      <protection hidden="1"/>
    </xf>
    <xf numFmtId="0" fontId="41" fillId="0" borderId="10" xfId="0" applyFont="1" applyBorder="1" applyAlignment="1" applyProtection="1">
      <alignment vertical="center"/>
      <protection hidden="1"/>
    </xf>
    <xf numFmtId="0" fontId="60" fillId="0" borderId="10" xfId="0" applyFont="1" applyBorder="1" applyAlignment="1" applyProtection="1">
      <alignment vertical="center"/>
      <protection hidden="1"/>
    </xf>
    <xf numFmtId="40" fontId="61" fillId="0" borderId="10" xfId="42" applyNumberFormat="1" applyFont="1" applyBorder="1" applyAlignment="1" applyProtection="1">
      <alignment vertical="center"/>
      <protection hidden="1"/>
    </xf>
    <xf numFmtId="0" fontId="47" fillId="0" borderId="0" xfId="55" applyFont="1" applyAlignment="1" applyProtection="1">
      <alignment vertical="center"/>
      <protection hidden="1"/>
    </xf>
    <xf numFmtId="180" fontId="41" fillId="0" borderId="10" xfId="0" applyNumberFormat="1" applyFont="1" applyBorder="1" applyAlignment="1" applyProtection="1">
      <alignment vertical="center"/>
      <protection hidden="1"/>
    </xf>
    <xf numFmtId="180" fontId="60" fillId="0" borderId="10" xfId="0" applyNumberFormat="1" applyFont="1" applyBorder="1" applyAlignment="1" applyProtection="1">
      <alignment vertical="center"/>
      <protection hidden="1"/>
    </xf>
    <xf numFmtId="40" fontId="61" fillId="0" borderId="10" xfId="42" applyFont="1" applyBorder="1" applyAlignment="1" applyProtection="1">
      <alignment vertical="center"/>
      <protection hidden="1"/>
    </xf>
    <xf numFmtId="14" fontId="47" fillId="0" borderId="0" xfId="0" applyNumberFormat="1" applyFont="1" applyBorder="1" applyAlignment="1" applyProtection="1">
      <alignment vertical="center"/>
      <protection hidden="1"/>
    </xf>
    <xf numFmtId="1" fontId="47" fillId="0" borderId="0" xfId="0" applyNumberFormat="1" applyFont="1" applyBorder="1" applyAlignment="1" applyProtection="1">
      <alignment vertical="center"/>
      <protection hidden="1"/>
    </xf>
    <xf numFmtId="4" fontId="47" fillId="0" borderId="0" xfId="0" applyNumberFormat="1" applyFont="1" applyBorder="1" applyAlignment="1" applyProtection="1">
      <alignment vertical="center"/>
      <protection hidden="1"/>
    </xf>
    <xf numFmtId="188" fontId="47" fillId="0" borderId="0" xfId="0" applyNumberFormat="1" applyFont="1" applyBorder="1" applyAlignment="1" applyProtection="1">
      <alignment vertical="center"/>
      <protection hidden="1"/>
    </xf>
    <xf numFmtId="15" fontId="58" fillId="0" borderId="0" xfId="0" applyNumberFormat="1" applyFont="1" applyBorder="1" applyAlignment="1" applyProtection="1">
      <alignment horizontal="center" vertical="center"/>
      <protection hidden="1"/>
    </xf>
    <xf numFmtId="0" fontId="40" fillId="35" borderId="0" xfId="0" applyFont="1" applyFill="1" applyBorder="1" applyAlignment="1" applyProtection="1">
      <alignment horizontal="center" vertical="center"/>
      <protection hidden="1"/>
    </xf>
    <xf numFmtId="0" fontId="58" fillId="0" borderId="0" xfId="0" applyFont="1" applyFill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horizontal="right" vertical="center"/>
      <protection hidden="1"/>
    </xf>
    <xf numFmtId="0" fontId="58" fillId="0" borderId="0" xfId="0" applyFont="1" applyBorder="1" applyAlignment="1" applyProtection="1">
      <alignment horizontal="center" vertical="center"/>
      <protection hidden="1"/>
    </xf>
    <xf numFmtId="188" fontId="58" fillId="0" borderId="0" xfId="0" applyNumberFormat="1" applyFont="1" applyBorder="1" applyAlignment="1" applyProtection="1">
      <alignment horizontal="right" vertical="center"/>
      <protection hidden="1"/>
    </xf>
    <xf numFmtId="2" fontId="58" fillId="0" borderId="0" xfId="0" applyNumberFormat="1" applyFont="1" applyBorder="1" applyAlignment="1" applyProtection="1">
      <alignment horizontal="right" vertical="center"/>
      <protection hidden="1"/>
    </xf>
    <xf numFmtId="40" fontId="58" fillId="0" borderId="0" xfId="42" applyNumberFormat="1" applyFont="1" applyBorder="1" applyAlignment="1" applyProtection="1">
      <alignment horizontal="right" vertical="center"/>
      <protection hidden="1"/>
    </xf>
    <xf numFmtId="0" fontId="58" fillId="0" borderId="0" xfId="0" applyFont="1" applyAlignment="1" applyProtection="1">
      <alignment horizontal="right" vertical="center"/>
      <protection hidden="1"/>
    </xf>
    <xf numFmtId="15" fontId="42" fillId="0" borderId="0" xfId="0" applyNumberFormat="1" applyFont="1" applyBorder="1" applyAlignment="1" applyProtection="1">
      <alignment vertical="center"/>
      <protection hidden="1"/>
    </xf>
    <xf numFmtId="188" fontId="40" fillId="35" borderId="0" xfId="0" applyNumberFormat="1" applyFont="1" applyFill="1" applyBorder="1" applyAlignment="1" applyProtection="1">
      <alignment horizontal="center" vertical="center"/>
      <protection hidden="1"/>
    </xf>
    <xf numFmtId="4" fontId="40" fillId="35" borderId="0" xfId="0" applyNumberFormat="1" applyFont="1" applyFill="1" applyBorder="1" applyAlignment="1" applyProtection="1">
      <alignment horizontal="center" vertical="center"/>
      <protection hidden="1"/>
    </xf>
    <xf numFmtId="2" fontId="40" fillId="35" borderId="0" xfId="0" applyNumberFormat="1" applyFont="1" applyFill="1" applyBorder="1" applyAlignment="1" applyProtection="1">
      <alignment horizontal="center" vertical="center"/>
      <protection hidden="1"/>
    </xf>
    <xf numFmtId="2" fontId="58" fillId="0" borderId="0" xfId="0" applyNumberFormat="1" applyFont="1" applyFill="1" applyBorder="1" applyAlignment="1" applyProtection="1">
      <alignment horizontal="center" vertical="center"/>
      <protection hidden="1"/>
    </xf>
    <xf numFmtId="49" fontId="43" fillId="0" borderId="0" xfId="42" applyNumberFormat="1" applyFont="1" applyFill="1" applyBorder="1" applyAlignment="1" applyProtection="1">
      <alignment horizontal="center" vertical="center"/>
      <protection hidden="1"/>
    </xf>
    <xf numFmtId="38" fontId="43" fillId="0" borderId="0" xfId="42" applyNumberFormat="1" applyFont="1" applyBorder="1" applyAlignment="1" applyProtection="1">
      <alignment horizontal="center" vertical="center"/>
      <protection hidden="1"/>
    </xf>
    <xf numFmtId="183" fontId="47" fillId="0" borderId="0" xfId="0" applyNumberFormat="1" applyFont="1" applyBorder="1" applyAlignment="1" applyProtection="1">
      <alignment vertical="center"/>
      <protection hidden="1"/>
    </xf>
    <xf numFmtId="38" fontId="43" fillId="0" borderId="0" xfId="42" applyNumberFormat="1" applyFont="1" applyFill="1" applyBorder="1" applyAlignment="1" applyProtection="1" quotePrefix="1">
      <alignment horizontal="right" vertical="center"/>
      <protection hidden="1"/>
    </xf>
    <xf numFmtId="38" fontId="43" fillId="0" borderId="0" xfId="42" applyNumberFormat="1" applyFont="1" applyBorder="1" applyAlignment="1" applyProtection="1">
      <alignment horizontal="right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15" fontId="47" fillId="0" borderId="0" xfId="0" applyNumberFormat="1" applyFont="1" applyBorder="1" applyAlignment="1" applyProtection="1">
      <alignment horizontal="center" vertical="center"/>
      <protection hidden="1"/>
    </xf>
    <xf numFmtId="2" fontId="47" fillId="0" borderId="0" xfId="0" applyNumberFormat="1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193" fontId="47" fillId="0" borderId="0" xfId="0" applyNumberFormat="1" applyFont="1" applyFill="1" applyBorder="1" applyAlignment="1" applyProtection="1">
      <alignment vertical="center"/>
      <protection hidden="1"/>
    </xf>
    <xf numFmtId="186" fontId="47" fillId="0" borderId="0" xfId="0" applyNumberFormat="1" applyFont="1" applyFill="1" applyBorder="1" applyAlignment="1" applyProtection="1">
      <alignment vertical="center"/>
      <protection hidden="1"/>
    </xf>
    <xf numFmtId="188" fontId="47" fillId="0" borderId="0" xfId="0" applyNumberFormat="1" applyFont="1" applyFill="1" applyBorder="1" applyAlignment="1" applyProtection="1">
      <alignment vertical="center"/>
      <protection hidden="1"/>
    </xf>
    <xf numFmtId="204" fontId="47" fillId="0" borderId="0" xfId="42" applyNumberFormat="1" applyFont="1" applyFill="1" applyBorder="1" applyAlignment="1" applyProtection="1">
      <alignment vertical="center"/>
      <protection hidden="1"/>
    </xf>
    <xf numFmtId="4" fontId="47" fillId="0" borderId="0" xfId="0" applyNumberFormat="1" applyFont="1" applyFill="1" applyBorder="1" applyAlignment="1" applyProtection="1">
      <alignment vertical="center"/>
      <protection hidden="1"/>
    </xf>
    <xf numFmtId="15" fontId="47" fillId="34" borderId="0" xfId="0" applyNumberFormat="1" applyFont="1" applyFill="1" applyBorder="1" applyAlignment="1" applyProtection="1">
      <alignment horizontal="center" vertical="center"/>
      <protection hidden="1"/>
    </xf>
    <xf numFmtId="0" fontId="47" fillId="34" borderId="0" xfId="0" applyFont="1" applyFill="1" applyBorder="1" applyAlignment="1" applyProtection="1">
      <alignment horizontal="center" vertical="center"/>
      <protection hidden="1"/>
    </xf>
    <xf numFmtId="186" fontId="47" fillId="34" borderId="0" xfId="0" applyNumberFormat="1" applyFont="1" applyFill="1" applyBorder="1" applyAlignment="1" applyProtection="1">
      <alignment horizontal="center" vertical="center"/>
      <protection hidden="1"/>
    </xf>
    <xf numFmtId="188" fontId="47" fillId="34" borderId="0" xfId="0" applyNumberFormat="1" applyFont="1" applyFill="1" applyBorder="1" applyAlignment="1" applyProtection="1">
      <alignment horizontal="center" vertical="center"/>
      <protection hidden="1"/>
    </xf>
    <xf numFmtId="4" fontId="47" fillId="34" borderId="0" xfId="0" applyNumberFormat="1" applyFont="1" applyFill="1" applyBorder="1" applyAlignment="1" applyProtection="1">
      <alignment horizontal="center" vertical="center"/>
      <protection hidden="1"/>
    </xf>
    <xf numFmtId="2" fontId="58" fillId="34" borderId="0" xfId="0" applyNumberFormat="1" applyFont="1" applyFill="1" applyBorder="1" applyAlignment="1" applyProtection="1">
      <alignment horizontal="center" vertical="center"/>
      <protection hidden="1"/>
    </xf>
    <xf numFmtId="204" fontId="47" fillId="0" borderId="0" xfId="42" applyNumberFormat="1" applyFont="1" applyBorder="1" applyAlignment="1" applyProtection="1">
      <alignment vertical="center"/>
      <protection hidden="1"/>
    </xf>
    <xf numFmtId="4" fontId="47" fillId="33" borderId="0" xfId="0" applyNumberFormat="1" applyFont="1" applyFill="1" applyBorder="1" applyAlignment="1" applyProtection="1">
      <alignment vertical="center"/>
      <protection hidden="1"/>
    </xf>
    <xf numFmtId="193" fontId="47" fillId="0" borderId="0" xfId="0" applyNumberFormat="1" applyFont="1" applyBorder="1" applyAlignment="1" applyProtection="1">
      <alignment vertical="center"/>
      <protection hidden="1"/>
    </xf>
    <xf numFmtId="186" fontId="47" fillId="0" borderId="0" xfId="0" applyNumberFormat="1" applyFont="1" applyBorder="1" applyAlignment="1" applyProtection="1">
      <alignment vertical="center"/>
      <protection hidden="1"/>
    </xf>
    <xf numFmtId="197" fontId="47" fillId="37" borderId="0" xfId="0" applyNumberFormat="1" applyFont="1" applyFill="1" applyBorder="1" applyAlignment="1" applyProtection="1">
      <alignment horizontal="center" vertical="center"/>
      <protection locked="0"/>
    </xf>
    <xf numFmtId="9" fontId="47" fillId="0" borderId="0" xfId="58" applyFont="1" applyBorder="1" applyAlignment="1" applyProtection="1">
      <alignment horizontal="center" vertical="center"/>
      <protection hidden="1"/>
    </xf>
    <xf numFmtId="188" fontId="47" fillId="0" borderId="0" xfId="0" applyNumberFormat="1" applyFont="1" applyBorder="1" applyAlignment="1" applyProtection="1">
      <alignment horizontal="center" vertical="center"/>
      <protection hidden="1"/>
    </xf>
    <xf numFmtId="182" fontId="47" fillId="0" borderId="0" xfId="0" applyNumberFormat="1" applyFont="1" applyBorder="1" applyAlignment="1" applyProtection="1">
      <alignment horizontal="center" vertical="center"/>
      <protection hidden="1"/>
    </xf>
    <xf numFmtId="3" fontId="47" fillId="0" borderId="0" xfId="0" applyNumberFormat="1" applyFont="1" applyBorder="1" applyAlignment="1" applyProtection="1">
      <alignment horizontal="center" vertical="center"/>
      <protection hidden="1"/>
    </xf>
    <xf numFmtId="2" fontId="47" fillId="0" borderId="0" xfId="0" applyNumberFormat="1" applyFont="1" applyBorder="1" applyAlignment="1" applyProtection="1">
      <alignment horizontal="center" vertical="center"/>
      <protection hidden="1"/>
    </xf>
    <xf numFmtId="3" fontId="47" fillId="0" borderId="0" xfId="0" applyNumberFormat="1" applyFont="1" applyAlignment="1" applyProtection="1">
      <alignment horizontal="center" vertical="center"/>
      <protection hidden="1"/>
    </xf>
    <xf numFmtId="186" fontId="58" fillId="0" borderId="0" xfId="0" applyNumberFormat="1" applyFont="1" applyFill="1" applyBorder="1" applyAlignment="1" applyProtection="1">
      <alignment vertical="center"/>
      <protection hidden="1"/>
    </xf>
    <xf numFmtId="1" fontId="47" fillId="0" borderId="0" xfId="0" applyNumberFormat="1" applyFont="1" applyAlignment="1" applyProtection="1">
      <alignment horizontal="center" vertical="center"/>
      <protection hidden="1"/>
    </xf>
    <xf numFmtId="186" fontId="47" fillId="0" borderId="0" xfId="0" applyNumberFormat="1" applyFont="1" applyAlignment="1" applyProtection="1">
      <alignment horizontal="center" vertical="center"/>
      <protection hidden="1"/>
    </xf>
    <xf numFmtId="188" fontId="47" fillId="0" borderId="0" xfId="0" applyNumberFormat="1" applyFont="1" applyAlignment="1" applyProtection="1">
      <alignment horizontal="center" vertical="center"/>
      <protection hidden="1"/>
    </xf>
    <xf numFmtId="2" fontId="58" fillId="0" borderId="0" xfId="0" applyNumberFormat="1" applyFont="1" applyBorder="1" applyAlignment="1" applyProtection="1">
      <alignment horizontal="center" vertical="center"/>
      <protection hidden="1"/>
    </xf>
    <xf numFmtId="186" fontId="47" fillId="0" borderId="0" xfId="0" applyNumberFormat="1" applyFont="1" applyAlignment="1" applyProtection="1">
      <alignment vertical="center"/>
      <protection hidden="1"/>
    </xf>
    <xf numFmtId="2" fontId="47" fillId="0" borderId="0" xfId="0" applyNumberFormat="1" applyFont="1" applyFill="1" applyAlignment="1" applyProtection="1">
      <alignment vertical="center"/>
      <protection hidden="1"/>
    </xf>
    <xf numFmtId="194" fontId="47" fillId="0" borderId="0" xfId="0" applyNumberFormat="1" applyFont="1" applyAlignment="1" applyProtection="1">
      <alignment vertical="center"/>
      <protection hidden="1"/>
    </xf>
    <xf numFmtId="194" fontId="47" fillId="0" borderId="0" xfId="0" applyNumberFormat="1" applyFont="1" applyFill="1" applyAlignment="1" applyProtection="1">
      <alignment vertical="center"/>
      <protection hidden="1"/>
    </xf>
    <xf numFmtId="0" fontId="58" fillId="0" borderId="0" xfId="0" applyFont="1" applyBorder="1" applyAlignment="1" applyProtection="1">
      <alignment vertical="center"/>
      <protection hidden="1"/>
    </xf>
    <xf numFmtId="2" fontId="28" fillId="38" borderId="0" xfId="0" applyNumberFormat="1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40" fontId="27" fillId="34" borderId="0" xfId="42" applyNumberFormat="1" applyFont="1" applyFill="1" applyBorder="1" applyAlignment="1" applyProtection="1">
      <alignment horizontal="center" vertical="center"/>
      <protection/>
    </xf>
    <xf numFmtId="2" fontId="30" fillId="38" borderId="0" xfId="0" applyNumberFormat="1" applyFont="1" applyFill="1" applyBorder="1" applyAlignment="1" applyProtection="1">
      <alignment horizontal="center" vertical="center"/>
      <protection/>
    </xf>
    <xf numFmtId="2" fontId="30" fillId="38" borderId="0" xfId="0" applyNumberFormat="1" applyFont="1" applyFill="1" applyBorder="1" applyAlignment="1" applyProtection="1">
      <alignment horizontal="center" vertical="center" wrapText="1"/>
      <protection/>
    </xf>
    <xf numFmtId="0" fontId="28" fillId="38" borderId="14" xfId="0" applyFont="1" applyFill="1" applyBorder="1" applyAlignment="1" applyProtection="1">
      <alignment horizontal="center" vertical="center"/>
      <protection/>
    </xf>
    <xf numFmtId="186" fontId="30" fillId="38" borderId="0" xfId="0" applyNumberFormat="1" applyFont="1" applyFill="1" applyBorder="1" applyAlignment="1" applyProtection="1">
      <alignment horizontal="center" vertical="center" wrapText="1"/>
      <protection/>
    </xf>
    <xf numFmtId="188" fontId="30" fillId="38" borderId="0" xfId="0" applyNumberFormat="1" applyFont="1" applyFill="1" applyBorder="1" applyAlignment="1" applyProtection="1">
      <alignment horizontal="center" vertical="center" wrapText="1"/>
      <protection/>
    </xf>
    <xf numFmtId="188" fontId="30" fillId="38" borderId="0" xfId="0" applyNumberFormat="1" applyFont="1" applyFill="1" applyBorder="1" applyAlignment="1" applyProtection="1">
      <alignment horizontal="center" vertical="center"/>
      <protection/>
    </xf>
    <xf numFmtId="1" fontId="29" fillId="35" borderId="14" xfId="0" applyNumberFormat="1" applyFont="1" applyFill="1" applyBorder="1" applyAlignment="1" applyProtection="1">
      <alignment horizontal="center" vertical="center"/>
      <protection/>
    </xf>
    <xf numFmtId="186" fontId="28" fillId="35" borderId="0" xfId="0" applyNumberFormat="1" applyFont="1" applyFill="1" applyBorder="1" applyAlignment="1" applyProtection="1">
      <alignment horizontal="center" vertical="center" wrapText="1"/>
      <protection/>
    </xf>
    <xf numFmtId="0" fontId="28" fillId="35" borderId="0" xfId="0" applyFont="1" applyFill="1" applyBorder="1" applyAlignment="1" applyProtection="1">
      <alignment horizontal="center" vertical="center"/>
      <protection/>
    </xf>
    <xf numFmtId="0" fontId="28" fillId="35" borderId="14" xfId="0" applyFont="1" applyFill="1" applyBorder="1" applyAlignment="1" applyProtection="1">
      <alignment horizontal="center" vertical="center"/>
      <protection/>
    </xf>
    <xf numFmtId="0" fontId="38" fillId="0" borderId="15" xfId="0" applyFont="1" applyBorder="1" applyAlignment="1" applyProtection="1">
      <alignment horizontal="center" vertical="center" wrapText="1"/>
      <protection/>
    </xf>
    <xf numFmtId="0" fontId="38" fillId="0" borderId="16" xfId="0" applyFont="1" applyBorder="1" applyAlignment="1" applyProtection="1">
      <alignment horizontal="center" vertical="center" wrapText="1"/>
      <protection/>
    </xf>
    <xf numFmtId="0" fontId="38" fillId="0" borderId="17" xfId="0" applyFont="1" applyBorder="1" applyAlignment="1" applyProtection="1">
      <alignment horizontal="center" vertical="center" wrapText="1"/>
      <protection/>
    </xf>
    <xf numFmtId="180" fontId="37" fillId="0" borderId="18" xfId="0" applyNumberFormat="1" applyFont="1" applyBorder="1" applyAlignment="1" applyProtection="1">
      <alignment horizontal="center" vertical="center"/>
      <protection/>
    </xf>
    <xf numFmtId="180" fontId="37" fillId="0" borderId="12" xfId="0" applyNumberFormat="1" applyFont="1" applyBorder="1" applyAlignment="1" applyProtection="1">
      <alignment horizontal="center" vertical="center"/>
      <protection/>
    </xf>
    <xf numFmtId="180" fontId="37" fillId="0" borderId="19" xfId="0" applyNumberFormat="1" applyFont="1" applyBorder="1" applyAlignment="1" applyProtection="1">
      <alignment horizontal="center" vertical="center"/>
      <protection/>
    </xf>
    <xf numFmtId="180" fontId="37" fillId="0" borderId="20" xfId="0" applyNumberFormat="1" applyFont="1" applyBorder="1" applyAlignment="1" applyProtection="1">
      <alignment horizontal="center" vertical="center"/>
      <protection/>
    </xf>
    <xf numFmtId="180" fontId="37" fillId="0" borderId="13" xfId="0" applyNumberFormat="1" applyFont="1" applyBorder="1" applyAlignment="1" applyProtection="1">
      <alignment horizontal="center" vertical="center"/>
      <protection/>
    </xf>
    <xf numFmtId="180" fontId="37" fillId="0" borderId="21" xfId="0" applyNumberFormat="1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right" vertical="center" wrapText="1"/>
      <protection/>
    </xf>
    <xf numFmtId="0" fontId="48" fillId="0" borderId="0" xfId="0" applyFont="1" applyBorder="1" applyAlignment="1" applyProtection="1">
      <alignment horizontal="right" vertical="center" wrapText="1"/>
      <protection hidden="1"/>
    </xf>
    <xf numFmtId="0" fontId="63" fillId="0" borderId="15" xfId="0" applyFont="1" applyBorder="1" applyAlignment="1" applyProtection="1">
      <alignment horizontal="center" vertical="center" wrapText="1"/>
      <protection hidden="1"/>
    </xf>
    <xf numFmtId="0" fontId="63" fillId="0" borderId="16" xfId="0" applyFont="1" applyBorder="1" applyAlignment="1" applyProtection="1">
      <alignment horizontal="center" vertical="center" wrapText="1"/>
      <protection hidden="1"/>
    </xf>
    <xf numFmtId="0" fontId="63" fillId="0" borderId="17" xfId="0" applyFont="1" applyBorder="1" applyAlignment="1" applyProtection="1">
      <alignment horizontal="center" vertical="center" wrapText="1"/>
      <protection hidden="1"/>
    </xf>
    <xf numFmtId="180" fontId="45" fillId="0" borderId="18" xfId="0" applyNumberFormat="1" applyFont="1" applyBorder="1" applyAlignment="1" applyProtection="1">
      <alignment horizontal="center" vertical="center"/>
      <protection hidden="1"/>
    </xf>
    <xf numFmtId="180" fontId="45" fillId="0" borderId="12" xfId="0" applyNumberFormat="1" applyFont="1" applyBorder="1" applyAlignment="1" applyProtection="1">
      <alignment horizontal="center" vertical="center"/>
      <protection hidden="1"/>
    </xf>
    <xf numFmtId="180" fontId="45" fillId="0" borderId="19" xfId="0" applyNumberFormat="1" applyFont="1" applyBorder="1" applyAlignment="1" applyProtection="1">
      <alignment horizontal="center" vertical="center"/>
      <protection hidden="1"/>
    </xf>
    <xf numFmtId="180" fontId="45" fillId="0" borderId="20" xfId="0" applyNumberFormat="1" applyFont="1" applyBorder="1" applyAlignment="1" applyProtection="1">
      <alignment horizontal="center" vertical="center"/>
      <protection hidden="1"/>
    </xf>
    <xf numFmtId="180" fontId="45" fillId="0" borderId="13" xfId="0" applyNumberFormat="1" applyFont="1" applyBorder="1" applyAlignment="1" applyProtection="1">
      <alignment horizontal="center" vertical="center"/>
      <protection hidden="1"/>
    </xf>
    <xf numFmtId="180" fontId="45" fillId="0" borderId="21" xfId="0" applyNumberFormat="1" applyFont="1" applyBorder="1" applyAlignment="1" applyProtection="1">
      <alignment horizontal="center" vertical="center"/>
      <protection hidden="1"/>
    </xf>
    <xf numFmtId="2" fontId="40" fillId="38" borderId="0" xfId="0" applyNumberFormat="1" applyFont="1" applyFill="1" applyBorder="1" applyAlignment="1" applyProtection="1">
      <alignment horizontal="center" vertical="center"/>
      <protection hidden="1"/>
    </xf>
    <xf numFmtId="1" fontId="40" fillId="35" borderId="14" xfId="0" applyNumberFormat="1" applyFont="1" applyFill="1" applyBorder="1" applyAlignment="1" applyProtection="1">
      <alignment horizontal="center" vertical="center"/>
      <protection hidden="1"/>
    </xf>
    <xf numFmtId="186" fontId="40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0" fillId="35" borderId="0" xfId="0" applyFont="1" applyFill="1" applyBorder="1" applyAlignment="1" applyProtection="1">
      <alignment horizontal="center" vertical="center"/>
      <protection hidden="1"/>
    </xf>
    <xf numFmtId="0" fontId="40" fillId="35" borderId="14" xfId="0" applyFont="1" applyFill="1" applyBorder="1" applyAlignment="1" applyProtection="1">
      <alignment horizontal="center" vertical="center"/>
      <protection hidden="1"/>
    </xf>
    <xf numFmtId="180" fontId="46" fillId="37" borderId="10" xfId="0" applyNumberFormat="1" applyFont="1" applyFill="1" applyBorder="1" applyAlignment="1" applyProtection="1">
      <alignment horizontal="left" vertical="center" wrapText="1"/>
      <protection hidden="1"/>
    </xf>
    <xf numFmtId="180" fontId="58" fillId="37" borderId="10" xfId="0" applyNumberFormat="1" applyFont="1" applyFill="1" applyBorder="1" applyAlignment="1" applyProtection="1">
      <alignment horizontal="left" vertical="center"/>
      <protection hidden="1"/>
    </xf>
    <xf numFmtId="180" fontId="46" fillId="0" borderId="0" xfId="0" applyNumberFormat="1" applyFont="1" applyAlignment="1" applyProtection="1">
      <alignment horizontal="center" vertical="center" wrapText="1"/>
      <protection hidden="1"/>
    </xf>
    <xf numFmtId="180" fontId="46" fillId="0" borderId="0" xfId="0" applyNumberFormat="1" applyFont="1" applyAlignment="1" applyProtection="1">
      <alignment horizontal="center" vertical="center"/>
      <protection hidden="1"/>
    </xf>
    <xf numFmtId="0" fontId="58" fillId="34" borderId="13" xfId="0" applyFont="1" applyFill="1" applyBorder="1" applyAlignment="1" applyProtection="1">
      <alignment horizontal="center" vertical="center"/>
      <protection hidden="1"/>
    </xf>
    <xf numFmtId="40" fontId="58" fillId="34" borderId="0" xfId="42" applyNumberFormat="1" applyFont="1" applyFill="1" applyBorder="1" applyAlignment="1" applyProtection="1">
      <alignment horizontal="center" vertical="center"/>
      <protection hidden="1"/>
    </xf>
    <xf numFmtId="2" fontId="40" fillId="38" borderId="0" xfId="0" applyNumberFormat="1" applyFont="1" applyFill="1" applyBorder="1" applyAlignment="1" applyProtection="1">
      <alignment horizontal="center" vertical="center" wrapText="1"/>
      <protection hidden="1"/>
    </xf>
    <xf numFmtId="0" fontId="40" fillId="38" borderId="14" xfId="0" applyFont="1" applyFill="1" applyBorder="1" applyAlignment="1" applyProtection="1">
      <alignment horizontal="center" vertical="center"/>
      <protection hidden="1"/>
    </xf>
    <xf numFmtId="186" fontId="40" fillId="38" borderId="0" xfId="0" applyNumberFormat="1" applyFont="1" applyFill="1" applyBorder="1" applyAlignment="1" applyProtection="1">
      <alignment horizontal="center" vertical="center" wrapText="1"/>
      <protection hidden="1"/>
    </xf>
    <xf numFmtId="188" fontId="40" fillId="38" borderId="0" xfId="0" applyNumberFormat="1" applyFont="1" applyFill="1" applyBorder="1" applyAlignment="1" applyProtection="1">
      <alignment horizontal="center" vertical="center" wrapText="1"/>
      <protection hidden="1"/>
    </xf>
    <xf numFmtId="188" fontId="40" fillId="38" borderId="0" xfId="0" applyNumberFormat="1" applyFont="1" applyFill="1" applyBorder="1" applyAlignment="1" applyProtection="1">
      <alignment horizontal="center" vertical="center"/>
      <protection hidden="1"/>
    </xf>
    <xf numFmtId="180" fontId="46" fillId="0" borderId="10" xfId="0" applyNumberFormat="1" applyFont="1" applyBorder="1" applyAlignment="1" applyProtection="1">
      <alignment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ESB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47625</xdr:rowOff>
    </xdr:from>
    <xdr:to>
      <xdr:col>216</xdr:col>
      <xdr:colOff>457200</xdr:colOff>
      <xdr:row>1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800100" y="47625"/>
          <a:ext cx="178050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32004" anchor="ctr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Instituto Argentino de Mercado de Capitales</a:t>
          </a:r>
        </a:p>
      </xdr:txBody>
    </xdr:sp>
    <xdr:clientData/>
  </xdr:twoCellAnchor>
  <xdr:twoCellAnchor>
    <xdr:from>
      <xdr:col>1</xdr:col>
      <xdr:colOff>19050</xdr:colOff>
      <xdr:row>0</xdr:row>
      <xdr:rowOff>19050</xdr:rowOff>
    </xdr:from>
    <xdr:to>
      <xdr:col>1</xdr:col>
      <xdr:colOff>342900</xdr:colOff>
      <xdr:row>2</xdr:row>
      <xdr:rowOff>19050</xdr:rowOff>
    </xdr:to>
    <xdr:pic>
      <xdr:nvPicPr>
        <xdr:cNvPr id="2" name="Picture 2" descr="LogoIAMC sin aniversario 40%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323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1</xdr:row>
      <xdr:rowOff>0</xdr:rowOff>
    </xdr:from>
    <xdr:to>
      <xdr:col>11</xdr:col>
      <xdr:colOff>704850</xdr:colOff>
      <xdr:row>4</xdr:row>
      <xdr:rowOff>142875</xdr:rowOff>
    </xdr:to>
    <xdr:pic>
      <xdr:nvPicPr>
        <xdr:cNvPr id="1" name="Picture 5" descr="LOGOtexto complet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1524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1</xdr:row>
      <xdr:rowOff>0</xdr:rowOff>
    </xdr:from>
    <xdr:to>
      <xdr:col>12</xdr:col>
      <xdr:colOff>685800</xdr:colOff>
      <xdr:row>4</xdr:row>
      <xdr:rowOff>142875</xdr:rowOff>
    </xdr:to>
    <xdr:pic>
      <xdr:nvPicPr>
        <xdr:cNvPr id="1" name="Picture 4" descr="LOGOtexto complet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24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10</xdr:row>
      <xdr:rowOff>0</xdr:rowOff>
    </xdr:from>
    <xdr:to>
      <xdr:col>6</xdr:col>
      <xdr:colOff>180975</xdr:colOff>
      <xdr:row>15</xdr:row>
      <xdr:rowOff>19050</xdr:rowOff>
    </xdr:to>
    <xdr:sp>
      <xdr:nvSpPr>
        <xdr:cNvPr id="2" name="AutoShape 6"/>
        <xdr:cNvSpPr>
          <a:spLocks/>
        </xdr:cNvSpPr>
      </xdr:nvSpPr>
      <xdr:spPr>
        <a:xfrm>
          <a:off x="6134100" y="2181225"/>
          <a:ext cx="123825" cy="1114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238125</xdr:colOff>
      <xdr:row>9</xdr:row>
      <xdr:rowOff>333375</xdr:rowOff>
    </xdr:from>
    <xdr:to>
      <xdr:col>9</xdr:col>
      <xdr:colOff>428625</xdr:colOff>
      <xdr:row>15</xdr:row>
      <xdr:rowOff>9525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6305550" y="2181225"/>
          <a:ext cx="206692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Geneva"/>
              <a:ea typeface="Geneva"/>
              <a:cs typeface="Geneva"/>
            </a:rPr>
            <a:t>TODOS LOS INDICADORES ESTÁN CALCULADOS A LA FECHA DE LIQUIDACIÓN DE LA SUBASTA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Q28"/>
  <sheetViews>
    <sheetView showGridLines="0" zoomScale="125" zoomScaleNormal="125" zoomScalePageLayoutView="0" workbookViewId="0" topLeftCell="A1">
      <selection activeCell="F10" sqref="F10"/>
    </sheetView>
  </sheetViews>
  <sheetFormatPr defaultColWidth="10.875" defaultRowHeight="12"/>
  <cols>
    <col min="1" max="1" width="4.75390625" style="3" customWidth="1"/>
    <col min="2" max="2" width="13.25390625" style="3" customWidth="1"/>
    <col min="3" max="3" width="12.25390625" style="68" customWidth="1"/>
    <col min="4" max="4" width="14.125" style="72" customWidth="1"/>
    <col min="5" max="5" width="14.75390625" style="70" bestFit="1" customWidth="1"/>
    <col min="6" max="7" width="10.25390625" style="3" customWidth="1"/>
    <col min="8" max="8" width="2.00390625" style="86" customWidth="1"/>
    <col min="9" max="9" width="11.625" style="3" customWidth="1"/>
    <col min="10" max="12" width="10.875" style="25" customWidth="1"/>
    <col min="13" max="13" width="12.75390625" style="3" customWidth="1"/>
    <col min="14" max="14" width="2.00390625" style="86" customWidth="1"/>
    <col min="15" max="15" width="13.375" style="3" customWidth="1"/>
    <col min="16" max="16" width="10.875" style="3" customWidth="1"/>
    <col min="17" max="17" width="12.125" style="3" customWidth="1"/>
    <col min="18" max="16384" width="10.875" style="3" customWidth="1"/>
  </cols>
  <sheetData>
    <row r="3" spans="2:19" ht="12">
      <c r="B3" s="127"/>
      <c r="C3" s="128"/>
      <c r="D3" s="129"/>
      <c r="E3" s="130"/>
      <c r="F3" s="127"/>
      <c r="G3" s="127"/>
      <c r="H3" s="131"/>
      <c r="I3" s="127"/>
      <c r="J3" s="132"/>
      <c r="K3" s="132"/>
      <c r="L3" s="132"/>
      <c r="M3" s="127"/>
      <c r="N3" s="131"/>
      <c r="O3" s="127"/>
      <c r="P3" s="127"/>
      <c r="Q3" s="127"/>
      <c r="R3" s="127"/>
      <c r="S3" s="11"/>
    </row>
    <row r="4" spans="2:16" s="2" customFormat="1" ht="20.25">
      <c r="B4" s="126" t="s">
        <v>26</v>
      </c>
      <c r="C4" s="3"/>
      <c r="D4" s="3"/>
      <c r="F4" s="3"/>
      <c r="G4" s="124"/>
      <c r="H4" s="125"/>
      <c r="I4" s="4" t="s">
        <v>0</v>
      </c>
      <c r="J4" s="5"/>
      <c r="K4" s="6"/>
      <c r="L4" s="6"/>
      <c r="M4" s="7"/>
      <c r="N4" s="125"/>
      <c r="O4" s="6"/>
      <c r="P4" s="3"/>
    </row>
    <row r="5" spans="2:15" ht="6.75" customHeight="1">
      <c r="B5" s="8"/>
      <c r="C5" s="9"/>
      <c r="D5" s="10"/>
      <c r="E5" s="4" t="str">
        <f>"=BOGX7"</f>
        <v>=BOGX7</v>
      </c>
      <c r="I5" s="11"/>
      <c r="J5" s="12"/>
      <c r="K5" s="6"/>
      <c r="L5" s="11"/>
      <c r="M5" s="11"/>
      <c r="O5" s="11"/>
    </row>
    <row r="6" spans="2:16" s="2" customFormat="1" ht="21.75" customHeight="1">
      <c r="B6" s="13" t="s">
        <v>11</v>
      </c>
      <c r="C6" s="14"/>
      <c r="D6" s="106"/>
      <c r="E6" s="133">
        <v>40690</v>
      </c>
      <c r="F6" s="3"/>
      <c r="G6" s="16"/>
      <c r="H6" s="90"/>
      <c r="J6" s="122"/>
      <c r="K6" s="17"/>
      <c r="L6" s="18"/>
      <c r="M6" s="19"/>
      <c r="N6" s="90"/>
      <c r="O6" s="20"/>
      <c r="P6" s="3"/>
    </row>
    <row r="7" spans="2:16" s="2" customFormat="1" ht="21.75" customHeight="1">
      <c r="B7" s="13" t="s">
        <v>12</v>
      </c>
      <c r="C7" s="13"/>
      <c r="D7" s="106"/>
      <c r="E7" s="133">
        <v>40694</v>
      </c>
      <c r="F7" s="21"/>
      <c r="G7" s="22"/>
      <c r="H7" s="91"/>
      <c r="K7" s="17"/>
      <c r="L7" s="1"/>
      <c r="M7" s="19"/>
      <c r="N7" s="91"/>
      <c r="O7" s="20"/>
      <c r="P7" s="3"/>
    </row>
    <row r="8" spans="2:14" ht="21.75" customHeight="1">
      <c r="B8" s="116" t="s">
        <v>13</v>
      </c>
      <c r="C8" s="116"/>
      <c r="D8" s="117"/>
      <c r="E8" s="134">
        <v>1031</v>
      </c>
      <c r="F8" s="119" t="s">
        <v>27</v>
      </c>
      <c r="H8" s="90"/>
      <c r="I8" s="24"/>
      <c r="K8" s="3"/>
      <c r="M8" s="26"/>
      <c r="N8" s="90"/>
    </row>
    <row r="9" spans="2:14" ht="21.75" customHeight="1">
      <c r="B9" s="13" t="s">
        <v>14</v>
      </c>
      <c r="C9" s="13"/>
      <c r="D9" s="107"/>
      <c r="E9" s="135">
        <v>0.261036</v>
      </c>
      <c r="F9" s="23"/>
      <c r="G9" s="1"/>
      <c r="H9" s="92"/>
      <c r="I9" s="5"/>
      <c r="K9" s="3"/>
      <c r="M9" s="26"/>
      <c r="N9" s="92"/>
    </row>
    <row r="10" spans="2:22" ht="21.75" customHeight="1">
      <c r="B10" s="27"/>
      <c r="C10" s="27"/>
      <c r="D10" s="3"/>
      <c r="E10" s="28"/>
      <c r="F10" s="29"/>
      <c r="I10" s="20"/>
      <c r="J10" s="12"/>
      <c r="K10" s="3"/>
      <c r="L10" s="30"/>
      <c r="M10" s="31"/>
      <c r="O10" s="11"/>
      <c r="P10" s="11"/>
      <c r="V10" s="32"/>
    </row>
    <row r="11" spans="2:22" ht="21.75" customHeight="1">
      <c r="B11" s="108" t="s">
        <v>30</v>
      </c>
      <c r="C11" s="109"/>
      <c r="D11" s="110"/>
      <c r="E11" s="111">
        <f>XIRR(Flow,Fechas)</f>
        <v>0.30913009047508244</v>
      </c>
      <c r="F11" s="113"/>
      <c r="J11" s="12"/>
      <c r="K11" s="3"/>
      <c r="V11" s="32"/>
    </row>
    <row r="12" spans="2:22" ht="21.75" customHeight="1">
      <c r="B12" s="35" t="s">
        <v>2</v>
      </c>
      <c r="C12" s="36"/>
      <c r="D12" s="107"/>
      <c r="E12" s="37">
        <f>DM</f>
        <v>0.6901310165734698</v>
      </c>
      <c r="J12" s="12"/>
      <c r="K12" s="3"/>
      <c r="V12" s="32"/>
    </row>
    <row r="13" spans="2:22" ht="21.75" customHeight="1">
      <c r="B13" s="33" t="s">
        <v>1</v>
      </c>
      <c r="C13" s="34"/>
      <c r="D13" s="107"/>
      <c r="E13" s="38">
        <f>PPV</f>
        <v>0.7548593459670473</v>
      </c>
      <c r="J13" s="12"/>
      <c r="K13" s="3"/>
      <c r="L13" s="3"/>
      <c r="V13" s="32"/>
    </row>
    <row r="14" spans="2:22" ht="21.75" customHeight="1">
      <c r="B14" s="35" t="s">
        <v>3</v>
      </c>
      <c r="C14" s="36"/>
      <c r="D14" s="107"/>
      <c r="E14" s="38">
        <f>CONV</f>
        <v>0.39133245321303833</v>
      </c>
      <c r="F14" s="11"/>
      <c r="G14" s="11"/>
      <c r="H14" s="57"/>
      <c r="I14" s="11"/>
      <c r="J14" s="12"/>
      <c r="K14" s="3"/>
      <c r="L14" s="3"/>
      <c r="N14" s="57"/>
      <c r="V14" s="32"/>
    </row>
    <row r="15" spans="2:22" ht="12.75">
      <c r="B15" s="39"/>
      <c r="C15" s="40"/>
      <c r="D15" s="41"/>
      <c r="E15" s="42"/>
      <c r="F15" s="11"/>
      <c r="G15" s="11"/>
      <c r="H15" s="57"/>
      <c r="I15" s="11"/>
      <c r="J15" s="30"/>
      <c r="K15" s="30"/>
      <c r="L15" s="30"/>
      <c r="M15" s="11"/>
      <c r="N15" s="57"/>
      <c r="V15" s="32"/>
    </row>
    <row r="16" spans="2:22" ht="12.75">
      <c r="B16" s="39"/>
      <c r="C16" s="40"/>
      <c r="D16" s="41"/>
      <c r="E16" s="42"/>
      <c r="F16" s="11"/>
      <c r="G16" s="11"/>
      <c r="H16" s="57"/>
      <c r="I16" s="11"/>
      <c r="J16" s="30"/>
      <c r="K16" s="30"/>
      <c r="L16" s="30"/>
      <c r="M16" s="11"/>
      <c r="N16" s="57"/>
      <c r="V16" s="32"/>
    </row>
    <row r="17" spans="2:22" ht="12.75">
      <c r="B17" s="39"/>
      <c r="C17" s="251" t="s">
        <v>23</v>
      </c>
      <c r="D17" s="251"/>
      <c r="E17" s="251"/>
      <c r="F17" s="251"/>
      <c r="G17" s="251"/>
      <c r="H17" s="57"/>
      <c r="I17" s="247" t="s">
        <v>21</v>
      </c>
      <c r="J17" s="247"/>
      <c r="K17" s="247"/>
      <c r="L17" s="247"/>
      <c r="M17" s="247"/>
      <c r="N17" s="57"/>
      <c r="O17" s="243" t="s">
        <v>25</v>
      </c>
      <c r="P17" s="243"/>
      <c r="Q17" s="243"/>
      <c r="R17" s="243"/>
      <c r="V17" s="32"/>
    </row>
    <row r="18" spans="2:30" s="43" customFormat="1" ht="17.25" customHeight="1">
      <c r="B18" s="99" t="s">
        <v>10</v>
      </c>
      <c r="C18" s="253" t="s">
        <v>29</v>
      </c>
      <c r="D18" s="252" t="s">
        <v>22</v>
      </c>
      <c r="E18" s="254" t="s">
        <v>28</v>
      </c>
      <c r="F18" s="254"/>
      <c r="G18" s="254"/>
      <c r="H18" s="93"/>
      <c r="I18" s="248" t="s">
        <v>16</v>
      </c>
      <c r="J18" s="249" t="s">
        <v>17</v>
      </c>
      <c r="K18" s="250" t="s">
        <v>18</v>
      </c>
      <c r="L18" s="245" t="s">
        <v>19</v>
      </c>
      <c r="M18" s="246" t="s">
        <v>20</v>
      </c>
      <c r="N18" s="93"/>
      <c r="O18" s="244">
        <f>R25/(2*PAGO)</f>
        <v>0.39133245321303833</v>
      </c>
      <c r="P18" s="244"/>
      <c r="Q18" s="244"/>
      <c r="R18" s="244"/>
      <c r="S18" s="44"/>
      <c r="T18" s="44"/>
      <c r="U18" s="45"/>
      <c r="V18" s="32"/>
      <c r="W18" s="46"/>
      <c r="X18" s="46"/>
      <c r="Y18" s="47"/>
      <c r="Z18" s="47"/>
      <c r="AA18" s="48"/>
      <c r="AB18" s="44"/>
      <c r="AC18" s="49"/>
      <c r="AD18" s="44"/>
    </row>
    <row r="19" spans="2:30" s="50" customFormat="1" ht="21" customHeight="1">
      <c r="B19" s="89">
        <v>40478</v>
      </c>
      <c r="C19" s="253"/>
      <c r="D19" s="252"/>
      <c r="E19" s="100" t="s">
        <v>4</v>
      </c>
      <c r="F19" s="101" t="s">
        <v>5</v>
      </c>
      <c r="G19" s="102" t="s">
        <v>15</v>
      </c>
      <c r="H19" s="94"/>
      <c r="I19" s="248"/>
      <c r="J19" s="249"/>
      <c r="K19" s="250"/>
      <c r="L19" s="245"/>
      <c r="M19" s="246"/>
      <c r="N19" s="94"/>
      <c r="O19" s="112" t="s">
        <v>6</v>
      </c>
      <c r="P19" s="112" t="s">
        <v>7</v>
      </c>
      <c r="Q19" s="112" t="s">
        <v>8</v>
      </c>
      <c r="R19" s="104" t="s">
        <v>9</v>
      </c>
      <c r="S19" s="11"/>
      <c r="T19" s="11"/>
      <c r="U19" s="11"/>
      <c r="V19" s="32"/>
      <c r="W19" s="55"/>
      <c r="X19" s="41"/>
      <c r="Y19" s="41"/>
      <c r="Z19" s="41"/>
      <c r="AA19" s="54"/>
      <c r="AB19" s="54"/>
      <c r="AC19" s="54"/>
      <c r="AD19" s="56"/>
    </row>
    <row r="20" spans="2:43" ht="17.25" customHeight="1">
      <c r="B20" s="98">
        <v>40632</v>
      </c>
      <c r="H20" s="79"/>
      <c r="I20" s="79"/>
      <c r="J20" s="79"/>
      <c r="K20" s="79"/>
      <c r="L20" s="79"/>
      <c r="M20" s="77"/>
      <c r="N20" s="79"/>
      <c r="O20" s="65"/>
      <c r="P20" s="66"/>
      <c r="Q20" s="60"/>
      <c r="R20" s="66"/>
      <c r="S20" s="84"/>
      <c r="T20" s="84"/>
      <c r="U20" s="85"/>
      <c r="V20" s="64"/>
      <c r="W20" s="85"/>
      <c r="X20" s="85"/>
      <c r="Y20" s="85"/>
      <c r="Z20" s="57"/>
      <c r="AA20" s="65"/>
      <c r="AB20" s="66"/>
      <c r="AC20" s="60"/>
      <c r="AD20" s="6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</row>
    <row r="21" spans="2:30" ht="17.25" customHeight="1">
      <c r="B21" s="97">
        <v>40694</v>
      </c>
      <c r="C21" s="73"/>
      <c r="D21" s="74"/>
      <c r="E21" s="75"/>
      <c r="F21" s="76"/>
      <c r="G21" s="115">
        <f>-cierre</f>
        <v>-1031</v>
      </c>
      <c r="H21" s="79"/>
      <c r="I21" s="114">
        <f>G22*C22</f>
        <v>1887.3260383561642</v>
      </c>
      <c r="J21" s="53">
        <f>G22/((1+T)^(C22/365))</f>
        <v>63.70219680924331</v>
      </c>
      <c r="K21" s="53">
        <f>J21/PAGO</f>
        <v>0.06178680568645562</v>
      </c>
      <c r="L21" s="53">
        <f>K21*C22</f>
        <v>1.791817364907213</v>
      </c>
      <c r="M21" s="242">
        <f>L25/(1+T/4)</f>
        <v>0.6901310165734698</v>
      </c>
      <c r="N21" s="79"/>
      <c r="O21" s="65">
        <f>C22/365</f>
        <v>0.07945205479452055</v>
      </c>
      <c r="P21" s="66">
        <f>G22*(O21+O21^2)</f>
        <v>5.5815834799199004</v>
      </c>
      <c r="Q21" s="60">
        <f>(1+T)^(O21+2)</f>
        <v>1.7508951301663256</v>
      </c>
      <c r="R21" s="66">
        <f>P21/Q21</f>
        <v>3.187845681762608</v>
      </c>
      <c r="S21" s="61"/>
      <c r="T21" s="61"/>
      <c r="U21" s="62"/>
      <c r="V21" s="30"/>
      <c r="W21" s="41"/>
      <c r="X21" s="41"/>
      <c r="Y21" s="41"/>
      <c r="Z21" s="11"/>
      <c r="AA21" s="58"/>
      <c r="AB21" s="59"/>
      <c r="AC21" s="63"/>
      <c r="AD21" s="59"/>
    </row>
    <row r="22" spans="2:30" ht="17.25" customHeight="1">
      <c r="B22" s="98">
        <v>40723</v>
      </c>
      <c r="C22" s="77">
        <f>+B22-B21</f>
        <v>29</v>
      </c>
      <c r="D22" s="88">
        <v>1</v>
      </c>
      <c r="E22" s="51">
        <v>0</v>
      </c>
      <c r="F22" s="78">
        <f>i*(B22-B20)/365*D22*1000</f>
        <v>65.08020821917808</v>
      </c>
      <c r="G22" s="51">
        <f>F22+E22</f>
        <v>65.08020821917808</v>
      </c>
      <c r="H22" s="79"/>
      <c r="I22" s="114">
        <f>G23*C23</f>
        <v>7961.240416438355</v>
      </c>
      <c r="J22" s="53">
        <f>G23/((1+T)^(C23/365))</f>
        <v>60.17481552911554</v>
      </c>
      <c r="K22" s="53">
        <f>J22/PAGO</f>
        <v>0.05836548534502477</v>
      </c>
      <c r="L22" s="53">
        <f>K22*C23</f>
        <v>7.062223726747997</v>
      </c>
      <c r="M22" s="242"/>
      <c r="N22" s="79"/>
      <c r="O22" s="65">
        <f>C23/365</f>
        <v>0.3315068493150685</v>
      </c>
      <c r="P22" s="66">
        <f>G23*(O22+O22^2)</f>
        <v>29.042318201456492</v>
      </c>
      <c r="Q22" s="60">
        <f>(1+T)^(O22+2)</f>
        <v>1.873899139394927</v>
      </c>
      <c r="R22" s="66">
        <f>P22/Q22</f>
        <v>15.498335844710468</v>
      </c>
      <c r="S22" s="61"/>
      <c r="T22" s="61"/>
      <c r="U22" s="62"/>
      <c r="V22" s="30"/>
      <c r="W22" s="41"/>
      <c r="X22" s="41"/>
      <c r="Y22" s="41"/>
      <c r="Z22" s="11"/>
      <c r="AA22" s="58"/>
      <c r="AB22" s="59"/>
      <c r="AC22" s="63"/>
      <c r="AD22" s="59"/>
    </row>
    <row r="23" spans="2:30" ht="17.25" customHeight="1">
      <c r="B23" s="98">
        <v>40815</v>
      </c>
      <c r="C23" s="77">
        <f>+B23-B21</f>
        <v>121</v>
      </c>
      <c r="D23" s="88">
        <v>1</v>
      </c>
      <c r="E23" s="51">
        <v>0</v>
      </c>
      <c r="F23" s="78">
        <f>i*(B23-B22)/365*D23*1000</f>
        <v>65.79537534246575</v>
      </c>
      <c r="G23" s="51">
        <f>F23+E23</f>
        <v>65.79537534246575</v>
      </c>
      <c r="H23" s="79"/>
      <c r="I23" s="114">
        <f>G24*C24</f>
        <v>14014.414947945204</v>
      </c>
      <c r="J23" s="53">
        <f>G24/((1+T)^(C24/365))</f>
        <v>56.22489986446418</v>
      </c>
      <c r="K23" s="53">
        <f>J23/PAGO</f>
        <v>0.05453433533962514</v>
      </c>
      <c r="L23" s="53">
        <f>K23*C24</f>
        <v>11.615813427340154</v>
      </c>
      <c r="M23" s="242"/>
      <c r="N23" s="79"/>
      <c r="O23" s="65">
        <f>C24/365</f>
        <v>0.5835616438356165</v>
      </c>
      <c r="P23" s="66">
        <f>G24*(O23+O23^2)</f>
        <v>60.80189033523985</v>
      </c>
      <c r="Q23" s="60">
        <f>(1+T)^(O23+2)</f>
        <v>2.0055444350293414</v>
      </c>
      <c r="R23" s="66">
        <f>P23/Q23</f>
        <v>30.316900126099828</v>
      </c>
      <c r="S23" s="61"/>
      <c r="T23" s="61"/>
      <c r="U23" s="62"/>
      <c r="V23" s="30"/>
      <c r="W23" s="41"/>
      <c r="X23" s="41"/>
      <c r="Y23" s="41"/>
      <c r="Z23" s="11"/>
      <c r="AA23" s="58"/>
      <c r="AB23" s="59"/>
      <c r="AC23" s="63"/>
      <c r="AD23" s="59"/>
    </row>
    <row r="24" spans="2:18" ht="17.25" customHeight="1">
      <c r="B24" s="98">
        <v>40907</v>
      </c>
      <c r="C24" s="77">
        <f>+B24-B21</f>
        <v>213</v>
      </c>
      <c r="D24" s="88">
        <v>1</v>
      </c>
      <c r="E24" s="51">
        <v>0</v>
      </c>
      <c r="F24" s="78">
        <f>i*(B24-B23)/365*D24*1000</f>
        <v>65.79537534246575</v>
      </c>
      <c r="G24" s="51">
        <f>F24+E24</f>
        <v>65.79537534246575</v>
      </c>
      <c r="H24" s="79"/>
      <c r="I24" s="114">
        <f>G25*C25</f>
        <v>323730.3276065574</v>
      </c>
      <c r="J24" s="53">
        <f>G25/((1+T)^(C25/365))</f>
        <v>850.8980901683559</v>
      </c>
      <c r="K24" s="53">
        <f>J24/PAGO</f>
        <v>0.8253133736288946</v>
      </c>
      <c r="L24" s="53">
        <f>K24*C25</f>
        <v>250.89526558318394</v>
      </c>
      <c r="M24" s="242"/>
      <c r="N24" s="79"/>
      <c r="O24" s="65">
        <f>C25/365</f>
        <v>0.8328767123287671</v>
      </c>
      <c r="P24" s="66">
        <f>G25*(O24+O24^2)</f>
        <v>1625.6377494373194</v>
      </c>
      <c r="Q24" s="60">
        <f>(1+T)^(O24+2)</f>
        <v>2.144854640344351</v>
      </c>
      <c r="R24" s="66">
        <f>P24/Q24</f>
        <v>757.9244387285506</v>
      </c>
    </row>
    <row r="25" spans="2:18" ht="17.25" customHeight="1">
      <c r="B25" s="98">
        <v>40998</v>
      </c>
      <c r="C25" s="77">
        <f>+B25-B21</f>
        <v>304</v>
      </c>
      <c r="D25" s="88">
        <v>1</v>
      </c>
      <c r="E25" s="121">
        <v>1000</v>
      </c>
      <c r="F25" s="78">
        <f>i*(B25-B24)/366*D25*1000</f>
        <v>64.90239344262295</v>
      </c>
      <c r="G25" s="51">
        <f>F25+E25</f>
        <v>1064.902393442623</v>
      </c>
      <c r="H25" s="79"/>
      <c r="I25" s="83">
        <f>SUM(I21:I24)/G26</f>
        <v>275.5236612779723</v>
      </c>
      <c r="J25" s="53">
        <f>SUM(J21:J24)</f>
        <v>1031.0000023711789</v>
      </c>
      <c r="K25" s="53">
        <f>SUM(K21:K24)</f>
        <v>1</v>
      </c>
      <c r="L25" s="52">
        <f>SUM(L21:L24)/365</f>
        <v>0.7434660824717241</v>
      </c>
      <c r="M25" s="242"/>
      <c r="N25" s="79"/>
      <c r="O25" s="65"/>
      <c r="P25" s="60"/>
      <c r="Q25" s="103"/>
      <c r="R25" s="105">
        <f>SUM(R21:R24)</f>
        <v>806.9275203811235</v>
      </c>
    </row>
    <row r="26" spans="2:18" ht="12">
      <c r="B26" s="67"/>
      <c r="C26" s="80"/>
      <c r="D26" s="81"/>
      <c r="E26" s="82"/>
      <c r="F26" s="82"/>
      <c r="G26" s="51">
        <f>SUM(G22:G25)</f>
        <v>1261.5733523467325</v>
      </c>
      <c r="H26" s="64"/>
      <c r="J26" s="3"/>
      <c r="K26" s="30"/>
      <c r="L26" s="30"/>
      <c r="M26" s="11"/>
      <c r="N26" s="64"/>
      <c r="O26" s="48"/>
      <c r="P26" s="48"/>
      <c r="Q26" s="48"/>
      <c r="R26" s="48"/>
    </row>
    <row r="27" spans="2:14" ht="12">
      <c r="B27" s="67"/>
      <c r="D27" s="69"/>
      <c r="F27" s="70"/>
      <c r="G27" s="25"/>
      <c r="H27" s="95"/>
      <c r="I27" s="71" t="s">
        <v>24</v>
      </c>
      <c r="J27" s="3"/>
      <c r="K27" s="52">
        <f>I25/365</f>
        <v>0.7548593459670473</v>
      </c>
      <c r="N27" s="95"/>
    </row>
    <row r="28" spans="7:14" ht="12">
      <c r="G28" s="87"/>
      <c r="H28" s="96"/>
      <c r="N28" s="96"/>
    </row>
  </sheetData>
  <sheetProtection password="EE4D" sheet="1" objects="1" scenarios="1"/>
  <mergeCells count="13">
    <mergeCell ref="C17:G17"/>
    <mergeCell ref="D18:D19"/>
    <mergeCell ref="C18:C19"/>
    <mergeCell ref="E18:G18"/>
    <mergeCell ref="M21:M25"/>
    <mergeCell ref="O17:R17"/>
    <mergeCell ref="O18:R18"/>
    <mergeCell ref="L18:L19"/>
    <mergeCell ref="M18:M19"/>
    <mergeCell ref="I17:M17"/>
    <mergeCell ref="I18:I19"/>
    <mergeCell ref="J18:J19"/>
    <mergeCell ref="K18:K19"/>
  </mergeCells>
  <conditionalFormatting sqref="E22:E25">
    <cfRule type="cellIs" priority="1" dxfId="3" operator="equal" stopIfTrue="1">
      <formula>0</formula>
    </cfRule>
  </conditionalFormatting>
  <printOptions horizontalCentered="1" verticalCentered="1"/>
  <pageMargins left="0.748031496062992" right="0.748031496062992" top="0.984251968503937" bottom="0.984251968503937" header="0.5" footer="0.5"/>
  <pageSetup horizontalDpi="300" verticalDpi="300" orientation="landscape" r:id="rId2"/>
  <headerFooter alignWithMargins="0">
    <oddHeader>&amp;C&amp;A</oddHeader>
  </headerFooter>
  <ignoredErrors>
    <ignoredError sqref="O19:Q1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29"/>
  <sheetViews>
    <sheetView showGridLines="0" zoomScale="120" zoomScaleNormal="120" zoomScalePageLayoutView="0" workbookViewId="0" topLeftCell="A1">
      <selection activeCell="E9" sqref="E9"/>
    </sheetView>
  </sheetViews>
  <sheetFormatPr defaultColWidth="10.875" defaultRowHeight="12"/>
  <cols>
    <col min="1" max="1" width="4.75390625" style="3" customWidth="1"/>
    <col min="2" max="2" width="13.25390625" style="3" customWidth="1"/>
    <col min="3" max="3" width="12.25390625" style="68" customWidth="1"/>
    <col min="4" max="4" width="14.125" style="72" customWidth="1"/>
    <col min="5" max="5" width="14.75390625" style="70" bestFit="1" customWidth="1"/>
    <col min="6" max="6" width="11.75390625" style="3" customWidth="1"/>
    <col min="7" max="7" width="10.25390625" style="3" customWidth="1"/>
    <col min="8" max="8" width="2.00390625" style="86" customWidth="1"/>
    <col min="9" max="9" width="11.625" style="3" customWidth="1"/>
    <col min="10" max="10" width="13.125" style="25" customWidth="1"/>
    <col min="11" max="12" width="10.875" style="25" customWidth="1"/>
    <col min="13" max="13" width="12.75390625" style="3" customWidth="1"/>
    <col min="14" max="14" width="2.00390625" style="86" customWidth="1"/>
    <col min="15" max="15" width="13.375" style="3" customWidth="1"/>
    <col min="16" max="16" width="10.875" style="3" customWidth="1"/>
    <col min="17" max="17" width="12.125" style="3" customWidth="1"/>
    <col min="18" max="16384" width="10.875" style="3" customWidth="1"/>
  </cols>
  <sheetData>
    <row r="1" spans="6:11" ht="12" customHeight="1">
      <c r="F1" s="264" t="s">
        <v>31</v>
      </c>
      <c r="G1" s="264"/>
      <c r="H1" s="264"/>
      <c r="I1" s="264"/>
      <c r="J1" s="264"/>
      <c r="K1" s="264"/>
    </row>
    <row r="2" spans="2:18" ht="17.25" customHeight="1">
      <c r="B2" s="255" t="s">
        <v>32</v>
      </c>
      <c r="C2" s="256"/>
      <c r="D2" s="256"/>
      <c r="E2" s="257"/>
      <c r="F2" s="264"/>
      <c r="G2" s="264"/>
      <c r="H2" s="264"/>
      <c r="I2" s="264"/>
      <c r="J2" s="264"/>
      <c r="K2" s="264"/>
      <c r="L2" s="30"/>
      <c r="M2" s="11"/>
      <c r="N2" s="57"/>
      <c r="O2" s="11"/>
      <c r="P2" s="11"/>
      <c r="Q2" s="11"/>
      <c r="R2" s="11"/>
    </row>
    <row r="3" spans="2:18" ht="18" customHeight="1">
      <c r="B3" s="255"/>
      <c r="C3" s="256"/>
      <c r="D3" s="256"/>
      <c r="E3" s="257"/>
      <c r="F3" s="264"/>
      <c r="G3" s="264"/>
      <c r="H3" s="264"/>
      <c r="I3" s="264"/>
      <c r="J3" s="264"/>
      <c r="K3" s="264"/>
      <c r="L3" s="30"/>
      <c r="M3" s="11"/>
      <c r="N3" s="57"/>
      <c r="O3" s="11"/>
      <c r="P3" s="11"/>
      <c r="Q3" s="11"/>
      <c r="R3" s="11"/>
    </row>
    <row r="4" spans="2:18" ht="6" customHeight="1">
      <c r="B4" s="258" t="s">
        <v>33</v>
      </c>
      <c r="C4" s="259"/>
      <c r="D4" s="259"/>
      <c r="E4" s="260"/>
      <c r="F4" s="264"/>
      <c r="G4" s="264"/>
      <c r="H4" s="264"/>
      <c r="I4" s="264"/>
      <c r="J4" s="264"/>
      <c r="K4" s="264"/>
      <c r="L4" s="30"/>
      <c r="M4" s="11"/>
      <c r="N4" s="57"/>
      <c r="O4" s="11"/>
      <c r="P4" s="11"/>
      <c r="Q4" s="11"/>
      <c r="R4" s="11"/>
    </row>
    <row r="5" spans="2:16" s="2" customFormat="1" ht="20.25" customHeight="1">
      <c r="B5" s="261"/>
      <c r="C5" s="262"/>
      <c r="D5" s="262"/>
      <c r="E5" s="263"/>
      <c r="F5" s="264"/>
      <c r="G5" s="264"/>
      <c r="H5" s="264"/>
      <c r="I5" s="264"/>
      <c r="J5" s="264"/>
      <c r="K5" s="264"/>
      <c r="L5" s="6"/>
      <c r="M5" s="7"/>
      <c r="N5" s="125"/>
      <c r="O5" s="6"/>
      <c r="P5" s="3"/>
    </row>
    <row r="6" spans="2:15" ht="6.75" customHeight="1">
      <c r="B6" s="8"/>
      <c r="C6" s="9"/>
      <c r="D6" s="10"/>
      <c r="E6" s="4" t="str">
        <f>"=BOGX7"</f>
        <v>=BOGX7</v>
      </c>
      <c r="I6" s="11"/>
      <c r="J6" s="12"/>
      <c r="K6" s="6"/>
      <c r="L6" s="11"/>
      <c r="M6" s="11"/>
      <c r="O6" s="11"/>
    </row>
    <row r="7" spans="2:16" s="2" customFormat="1" ht="21.75" customHeight="1">
      <c r="B7" s="13" t="s">
        <v>11</v>
      </c>
      <c r="C7" s="14"/>
      <c r="D7" s="106"/>
      <c r="E7" s="15">
        <v>40715</v>
      </c>
      <c r="F7" s="3"/>
      <c r="G7" s="16"/>
      <c r="H7" s="90"/>
      <c r="J7" s="122"/>
      <c r="K7" s="17"/>
      <c r="L7" s="18"/>
      <c r="M7" s="19"/>
      <c r="N7" s="90"/>
      <c r="O7" s="20"/>
      <c r="P7" s="3"/>
    </row>
    <row r="8" spans="2:16" s="2" customFormat="1" ht="21.75" customHeight="1">
      <c r="B8" s="13" t="s">
        <v>12</v>
      </c>
      <c r="C8" s="13"/>
      <c r="D8" s="106"/>
      <c r="E8" s="15">
        <v>40716</v>
      </c>
      <c r="F8" s="21"/>
      <c r="G8" s="22"/>
      <c r="H8" s="91"/>
      <c r="K8" s="17"/>
      <c r="L8" s="1"/>
      <c r="M8" s="19"/>
      <c r="N8" s="91"/>
      <c r="O8" s="20"/>
      <c r="P8" s="3"/>
    </row>
    <row r="9" spans="2:14" ht="21.75" customHeight="1">
      <c r="B9" s="116" t="s">
        <v>13</v>
      </c>
      <c r="C9" s="116"/>
      <c r="D9" s="117"/>
      <c r="E9" s="120">
        <v>1035</v>
      </c>
      <c r="F9" s="119" t="s">
        <v>27</v>
      </c>
      <c r="H9" s="90"/>
      <c r="I9" s="24"/>
      <c r="K9" s="3"/>
      <c r="M9" s="26"/>
      <c r="N9" s="90"/>
    </row>
    <row r="10" spans="2:14" ht="21.75" customHeight="1">
      <c r="B10" s="13" t="s">
        <v>14</v>
      </c>
      <c r="C10" s="13"/>
      <c r="D10" s="107"/>
      <c r="E10" s="118">
        <v>0.267185</v>
      </c>
      <c r="F10" s="23"/>
      <c r="G10" s="1"/>
      <c r="H10" s="92"/>
      <c r="I10" s="5"/>
      <c r="K10" s="3"/>
      <c r="M10" s="26"/>
      <c r="N10" s="92"/>
    </row>
    <row r="11" spans="2:22" ht="21.75" customHeight="1">
      <c r="B11" s="27"/>
      <c r="C11" s="27"/>
      <c r="D11" s="3"/>
      <c r="E11" s="28"/>
      <c r="F11" s="29"/>
      <c r="I11" s="20"/>
      <c r="J11" s="12"/>
      <c r="K11" s="3"/>
      <c r="L11" s="30"/>
      <c r="M11" s="31"/>
      <c r="O11" s="11"/>
      <c r="P11" s="11"/>
      <c r="V11" s="32"/>
    </row>
    <row r="12" spans="2:22" ht="21.75" customHeight="1">
      <c r="B12" s="108" t="s">
        <v>30</v>
      </c>
      <c r="C12" s="109"/>
      <c r="D12" s="110"/>
      <c r="E12" s="111">
        <f>XIRR(Flow,Fechas)</f>
        <v>0.29165015816688544</v>
      </c>
      <c r="F12" s="113"/>
      <c r="J12" s="12"/>
      <c r="K12" s="3"/>
      <c r="V12" s="32"/>
    </row>
    <row r="13" spans="2:22" ht="21.75" customHeight="1">
      <c r="B13" s="35" t="s">
        <v>2</v>
      </c>
      <c r="C13" s="36"/>
      <c r="D13" s="107"/>
      <c r="E13" s="37">
        <f>DM</f>
        <v>0.7350473733279472</v>
      </c>
      <c r="J13" s="12"/>
      <c r="K13" s="3"/>
      <c r="V13" s="32"/>
    </row>
    <row r="14" spans="2:22" ht="21.75" customHeight="1">
      <c r="B14" s="33" t="s">
        <v>1</v>
      </c>
      <c r="C14" s="34"/>
      <c r="D14" s="107"/>
      <c r="E14" s="38">
        <f>PPV</f>
        <v>0.7996251567639377</v>
      </c>
      <c r="J14" s="12"/>
      <c r="K14" s="3"/>
      <c r="L14" s="3"/>
      <c r="V14" s="32"/>
    </row>
    <row r="15" spans="2:22" ht="21.75" customHeight="1">
      <c r="B15" s="35" t="s">
        <v>3</v>
      </c>
      <c r="C15" s="36"/>
      <c r="D15" s="107"/>
      <c r="E15" s="38">
        <f>CONV</f>
        <v>0.43642342201852513</v>
      </c>
      <c r="F15" s="11"/>
      <c r="G15" s="11"/>
      <c r="H15" s="57"/>
      <c r="I15" s="11"/>
      <c r="J15" s="12"/>
      <c r="K15" s="3"/>
      <c r="L15" s="3"/>
      <c r="N15" s="57"/>
      <c r="V15" s="32"/>
    </row>
    <row r="16" spans="2:22" ht="12.75">
      <c r="B16" s="39"/>
      <c r="C16" s="40"/>
      <c r="D16" s="41"/>
      <c r="E16" s="42"/>
      <c r="F16" s="11"/>
      <c r="G16" s="11"/>
      <c r="H16" s="57"/>
      <c r="I16" s="11"/>
      <c r="J16" s="30"/>
      <c r="K16" s="30"/>
      <c r="L16" s="30"/>
      <c r="M16" s="11"/>
      <c r="N16" s="57"/>
      <c r="V16" s="32"/>
    </row>
    <row r="17" spans="2:22" ht="12.75">
      <c r="B17" s="39"/>
      <c r="C17" s="40"/>
      <c r="D17" s="41"/>
      <c r="E17" s="42"/>
      <c r="F17" s="11"/>
      <c r="G17" s="11"/>
      <c r="H17" s="57"/>
      <c r="I17" s="11"/>
      <c r="J17" s="30"/>
      <c r="K17" s="30"/>
      <c r="L17" s="30"/>
      <c r="M17" s="11"/>
      <c r="N17" s="57"/>
      <c r="V17" s="32"/>
    </row>
    <row r="18" spans="2:22" ht="12.75">
      <c r="B18" s="39"/>
      <c r="C18" s="251" t="s">
        <v>23</v>
      </c>
      <c r="D18" s="251"/>
      <c r="E18" s="251"/>
      <c r="F18" s="251"/>
      <c r="G18" s="251"/>
      <c r="H18" s="57"/>
      <c r="I18" s="247" t="s">
        <v>21</v>
      </c>
      <c r="J18" s="247"/>
      <c r="K18" s="247"/>
      <c r="L18" s="247"/>
      <c r="M18" s="247"/>
      <c r="N18" s="57"/>
      <c r="O18" s="243" t="s">
        <v>25</v>
      </c>
      <c r="P18" s="243"/>
      <c r="Q18" s="243"/>
      <c r="R18" s="243"/>
      <c r="V18" s="32"/>
    </row>
    <row r="19" spans="2:30" s="43" customFormat="1" ht="17.25" customHeight="1">
      <c r="B19" s="99" t="s">
        <v>10</v>
      </c>
      <c r="C19" s="253" t="s">
        <v>29</v>
      </c>
      <c r="D19" s="252" t="s">
        <v>22</v>
      </c>
      <c r="E19" s="254" t="s">
        <v>28</v>
      </c>
      <c r="F19" s="254"/>
      <c r="G19" s="254"/>
      <c r="H19" s="93"/>
      <c r="I19" s="248" t="s">
        <v>16</v>
      </c>
      <c r="J19" s="249" t="s">
        <v>17</v>
      </c>
      <c r="K19" s="250" t="s">
        <v>18</v>
      </c>
      <c r="L19" s="245" t="s">
        <v>19</v>
      </c>
      <c r="M19" s="246" t="s">
        <v>20</v>
      </c>
      <c r="N19" s="93"/>
      <c r="O19" s="244">
        <f>R26/(2*PAGO)</f>
        <v>0.43642342201852513</v>
      </c>
      <c r="P19" s="244"/>
      <c r="Q19" s="244"/>
      <c r="R19" s="244"/>
      <c r="S19" s="44"/>
      <c r="T19" s="44"/>
      <c r="U19" s="45"/>
      <c r="V19" s="32"/>
      <c r="W19" s="46"/>
      <c r="X19" s="46"/>
      <c r="Y19" s="47"/>
      <c r="Z19" s="47"/>
      <c r="AA19" s="48"/>
      <c r="AB19" s="44"/>
      <c r="AC19" s="49"/>
      <c r="AD19" s="44"/>
    </row>
    <row r="20" spans="2:30" s="50" customFormat="1" ht="21" customHeight="1">
      <c r="B20" s="89">
        <v>40478</v>
      </c>
      <c r="C20" s="253"/>
      <c r="D20" s="252"/>
      <c r="E20" s="100" t="s">
        <v>4</v>
      </c>
      <c r="F20" s="101" t="s">
        <v>5</v>
      </c>
      <c r="G20" s="102" t="s">
        <v>15</v>
      </c>
      <c r="H20" s="94"/>
      <c r="I20" s="248"/>
      <c r="J20" s="249"/>
      <c r="K20" s="250"/>
      <c r="L20" s="245"/>
      <c r="M20" s="246"/>
      <c r="N20" s="94"/>
      <c r="O20" s="112" t="s">
        <v>6</v>
      </c>
      <c r="P20" s="112" t="s">
        <v>7</v>
      </c>
      <c r="Q20" s="112" t="s">
        <v>8</v>
      </c>
      <c r="R20" s="104" t="s">
        <v>9</v>
      </c>
      <c r="S20" s="11"/>
      <c r="T20" s="11"/>
      <c r="U20" s="11"/>
      <c r="V20" s="32"/>
      <c r="W20" s="55"/>
      <c r="X20" s="41"/>
      <c r="Y20" s="41"/>
      <c r="Z20" s="41"/>
      <c r="AA20" s="54"/>
      <c r="AB20" s="54"/>
      <c r="AC20" s="54"/>
      <c r="AD20" s="56"/>
    </row>
    <row r="21" spans="2:43" ht="17.25" customHeight="1">
      <c r="B21" s="98">
        <v>40670</v>
      </c>
      <c r="H21" s="79"/>
      <c r="I21" s="79"/>
      <c r="J21" s="79"/>
      <c r="K21" s="79"/>
      <c r="L21" s="79"/>
      <c r="M21" s="77"/>
      <c r="N21" s="79"/>
      <c r="O21" s="65"/>
      <c r="P21" s="66"/>
      <c r="Q21" s="60"/>
      <c r="R21" s="66"/>
      <c r="S21" s="84"/>
      <c r="T21" s="84"/>
      <c r="U21" s="85"/>
      <c r="V21" s="64"/>
      <c r="W21" s="85"/>
      <c r="X21" s="85"/>
      <c r="Y21" s="85"/>
      <c r="Z21" s="57"/>
      <c r="AA21" s="65"/>
      <c r="AB21" s="66"/>
      <c r="AC21" s="60"/>
      <c r="AD21" s="6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</row>
    <row r="22" spans="2:30" ht="17.25" customHeight="1">
      <c r="B22" s="97">
        <f>+E8</f>
        <v>40716</v>
      </c>
      <c r="C22" s="73"/>
      <c r="D22" s="74"/>
      <c r="E22" s="75"/>
      <c r="F22" s="76"/>
      <c r="G22" s="115">
        <f>-cierre</f>
        <v>-1035</v>
      </c>
      <c r="H22" s="79"/>
      <c r="I22" s="114">
        <f>G23*C23</f>
        <v>3302.8458082191783</v>
      </c>
      <c r="J22" s="53">
        <f>G23/((1+T)^(C23/365))</f>
        <v>66.53202562973404</v>
      </c>
      <c r="K22" s="51">
        <f>J22/PAGO</f>
        <v>0.06428215051959701</v>
      </c>
      <c r="L22" s="53">
        <f>K22*C23</f>
        <v>3.0855432249406567</v>
      </c>
      <c r="M22" s="242">
        <f>L26/(1+T/4)</f>
        <v>0.7350473733279472</v>
      </c>
      <c r="N22" s="79"/>
      <c r="O22" s="65">
        <f>C23/365</f>
        <v>0.13150684931506848</v>
      </c>
      <c r="P22" s="66">
        <f>G23*(O22+O22^2)</f>
        <v>10.238883984196063</v>
      </c>
      <c r="Q22" s="60">
        <f>(1+T)^(O22+2)</f>
        <v>1.7254648586598476</v>
      </c>
      <c r="R22" s="66">
        <f>P22/Q22</f>
        <v>5.93398580840905</v>
      </c>
      <c r="S22" s="61"/>
      <c r="T22" s="61"/>
      <c r="U22" s="62"/>
      <c r="V22" s="30"/>
      <c r="W22" s="41"/>
      <c r="X22" s="41"/>
      <c r="Y22" s="41"/>
      <c r="Z22" s="11"/>
      <c r="AA22" s="58"/>
      <c r="AB22" s="59"/>
      <c r="AC22" s="63"/>
      <c r="AD22" s="59"/>
    </row>
    <row r="23" spans="2:30" ht="17.25" customHeight="1">
      <c r="B23" s="98">
        <v>40764</v>
      </c>
      <c r="C23" s="77">
        <f>+B23-B22</f>
        <v>48</v>
      </c>
      <c r="D23" s="123">
        <v>1</v>
      </c>
      <c r="E23" s="51">
        <v>0</v>
      </c>
      <c r="F23" s="78">
        <f>i*(B23-B21)/365*D23*1000</f>
        <v>68.80928767123288</v>
      </c>
      <c r="G23" s="51">
        <f>F23+E23</f>
        <v>68.80928767123288</v>
      </c>
      <c r="H23" s="79"/>
      <c r="I23" s="114">
        <f>G24*C24</f>
        <v>9259.241273972604</v>
      </c>
      <c r="J23" s="53">
        <f>G24/((1+T)^(C24/365))</f>
        <v>60.427438655188205</v>
      </c>
      <c r="K23" s="51">
        <f>J23/PAGO</f>
        <v>0.058383998839357916</v>
      </c>
      <c r="L23" s="53">
        <f>K23*C24</f>
        <v>8.11537583867075</v>
      </c>
      <c r="M23" s="242"/>
      <c r="N23" s="79"/>
      <c r="O23" s="65">
        <f>C24/365</f>
        <v>0.38082191780821917</v>
      </c>
      <c r="P23" s="66">
        <f>G24*(O23+O23^2)</f>
        <v>35.02839258459142</v>
      </c>
      <c r="Q23" s="60">
        <f>(1+T)^(O23+2)</f>
        <v>1.8391460446155485</v>
      </c>
      <c r="R23" s="66">
        <f>P23/Q23</f>
        <v>19.046009253666252</v>
      </c>
      <c r="S23" s="61"/>
      <c r="T23" s="61"/>
      <c r="U23" s="62"/>
      <c r="V23" s="30"/>
      <c r="W23" s="41"/>
      <c r="X23" s="41"/>
      <c r="Y23" s="41"/>
      <c r="Z23" s="11"/>
      <c r="AA23" s="58"/>
      <c r="AB23" s="59"/>
      <c r="AC23" s="63"/>
      <c r="AD23" s="59"/>
    </row>
    <row r="24" spans="2:30" ht="17.25" customHeight="1">
      <c r="B24" s="98">
        <v>40855</v>
      </c>
      <c r="C24" s="77">
        <f>+B24-B22</f>
        <v>139</v>
      </c>
      <c r="D24" s="123">
        <v>1</v>
      </c>
      <c r="E24" s="51">
        <v>0</v>
      </c>
      <c r="F24" s="78">
        <f>i*(B24-B23)/365*D24*1000</f>
        <v>66.61324657534247</v>
      </c>
      <c r="G24" s="51">
        <f>F24+E24</f>
        <v>66.61324657534247</v>
      </c>
      <c r="H24" s="79"/>
      <c r="I24" s="114">
        <f>G25*C25</f>
        <v>15279.18592896175</v>
      </c>
      <c r="J24" s="53">
        <f>G25/((1+T)^(C25/365))</f>
        <v>56.53740441161037</v>
      </c>
      <c r="K24" s="51">
        <f>J24/PAGO</f>
        <v>0.05462551163856687</v>
      </c>
      <c r="L24" s="53">
        <f>K24*C25</f>
        <v>12.56386767687038</v>
      </c>
      <c r="M24" s="242"/>
      <c r="N24" s="79"/>
      <c r="O24" s="65">
        <f>C25/365</f>
        <v>0.6301369863013698</v>
      </c>
      <c r="P24" s="66">
        <f>G25*(O24+O24^2)</f>
        <v>68.23881124212603</v>
      </c>
      <c r="Q24" s="60">
        <f>(1+T)^(O24+2)</f>
        <v>1.9603170452582501</v>
      </c>
      <c r="R24" s="66">
        <f>P24/Q24</f>
        <v>34.81008921857144</v>
      </c>
      <c r="S24" s="61"/>
      <c r="T24" s="61"/>
      <c r="U24" s="62"/>
      <c r="V24" s="30"/>
      <c r="W24" s="41"/>
      <c r="X24" s="41"/>
      <c r="Y24" s="41"/>
      <c r="Z24" s="11"/>
      <c r="AA24" s="58"/>
      <c r="AB24" s="59"/>
      <c r="AC24" s="63"/>
      <c r="AD24" s="59"/>
    </row>
    <row r="25" spans="2:18" ht="17.25" customHeight="1">
      <c r="B25" s="98">
        <v>40946</v>
      </c>
      <c r="C25" s="77">
        <f>+B25-B22</f>
        <v>230</v>
      </c>
      <c r="D25" s="123">
        <v>1</v>
      </c>
      <c r="E25" s="51">
        <v>0</v>
      </c>
      <c r="F25" s="78">
        <f>i*(B25-B24)/366*D25*1000</f>
        <v>66.43124316939891</v>
      </c>
      <c r="G25" s="51">
        <f>F25+E25</f>
        <v>66.43124316939891</v>
      </c>
      <c r="H25" s="79"/>
      <c r="I25" s="114">
        <f>G26*C26</f>
        <v>342324.42905737704</v>
      </c>
      <c r="J25" s="53">
        <f>G26/((1+T)^(C26/365))</f>
        <v>851.503128844793</v>
      </c>
      <c r="K25" s="51">
        <f>J25/PAGO</f>
        <v>0.8227083390024781</v>
      </c>
      <c r="L25" s="53">
        <f>K25*C26</f>
        <v>264.08937681979546</v>
      </c>
      <c r="M25" s="242"/>
      <c r="N25" s="79"/>
      <c r="O25" s="65">
        <f>C26/365</f>
        <v>0.8794520547945206</v>
      </c>
      <c r="P25" s="66">
        <f>G26*(O25+O25^2)</f>
        <v>1762.6913742417762</v>
      </c>
      <c r="Q25" s="60">
        <f>(1+T)^(O25+2)</f>
        <v>2.089471322400249</v>
      </c>
      <c r="R25" s="66">
        <f>P25/Q25</f>
        <v>843.6063971516542</v>
      </c>
    </row>
    <row r="26" spans="2:18" ht="17.25" customHeight="1">
      <c r="B26" s="98">
        <v>41037</v>
      </c>
      <c r="C26" s="77">
        <f>+B26-B22</f>
        <v>321</v>
      </c>
      <c r="D26" s="123">
        <v>1</v>
      </c>
      <c r="E26" s="121">
        <v>1000</v>
      </c>
      <c r="F26" s="78">
        <f>i*(B26-B25)/366*D26*1000</f>
        <v>66.43124316939891</v>
      </c>
      <c r="G26" s="51">
        <f>F26+E26</f>
        <v>1066.4312431693988</v>
      </c>
      <c r="H26" s="79"/>
      <c r="I26" s="114">
        <f>SUM(I22:I25)/G27</f>
        <v>291.86318221883727</v>
      </c>
      <c r="J26" s="53">
        <f>SUM(J22:J25)</f>
        <v>1034.9999975413257</v>
      </c>
      <c r="K26" s="52">
        <f>SUM(K22:K25)</f>
        <v>0.9999999999999999</v>
      </c>
      <c r="L26" s="53">
        <f>(SUM(L22:L25))/365</f>
        <v>0.7886415440007596</v>
      </c>
      <c r="M26" s="11"/>
      <c r="N26" s="79"/>
      <c r="O26" s="65"/>
      <c r="P26" s="60"/>
      <c r="Q26" s="103"/>
      <c r="R26" s="105">
        <f>SUM(R22:R25)</f>
        <v>903.3964814323009</v>
      </c>
    </row>
    <row r="27" spans="2:18" ht="12">
      <c r="B27" s="67"/>
      <c r="C27" s="80"/>
      <c r="D27" s="81"/>
      <c r="E27" s="82"/>
      <c r="F27" s="82"/>
      <c r="G27" s="51">
        <f>SUM(G23:G26)</f>
        <v>1268.285020585373</v>
      </c>
      <c r="H27" s="64"/>
      <c r="J27" s="3"/>
      <c r="K27" s="30"/>
      <c r="L27" s="30"/>
      <c r="M27" s="11"/>
      <c r="N27" s="64"/>
      <c r="O27" s="48"/>
      <c r="P27" s="48"/>
      <c r="Q27" s="48"/>
      <c r="R27" s="48"/>
    </row>
    <row r="28" spans="2:14" ht="12">
      <c r="B28" s="67"/>
      <c r="D28" s="69"/>
      <c r="F28" s="70"/>
      <c r="G28" s="25"/>
      <c r="H28" s="95"/>
      <c r="I28" s="71" t="s">
        <v>24</v>
      </c>
      <c r="J28" s="3"/>
      <c r="K28" s="52">
        <f>I26/365</f>
        <v>0.7996251567639377</v>
      </c>
      <c r="N28" s="95"/>
    </row>
    <row r="29" spans="7:14" ht="12">
      <c r="G29" s="87"/>
      <c r="H29" s="96"/>
      <c r="N29" s="96"/>
    </row>
  </sheetData>
  <sheetProtection password="ED8D" sheet="1" objects="1" scenarios="1" selectLockedCells="1"/>
  <mergeCells count="16">
    <mergeCell ref="O18:R18"/>
    <mergeCell ref="O19:R19"/>
    <mergeCell ref="L19:L20"/>
    <mergeCell ref="M19:M20"/>
    <mergeCell ref="I18:M18"/>
    <mergeCell ref="I19:I20"/>
    <mergeCell ref="J19:J20"/>
    <mergeCell ref="K19:K20"/>
    <mergeCell ref="D19:D20"/>
    <mergeCell ref="C19:C20"/>
    <mergeCell ref="E19:G19"/>
    <mergeCell ref="M22:M25"/>
    <mergeCell ref="B2:E3"/>
    <mergeCell ref="B4:E5"/>
    <mergeCell ref="F1:K5"/>
    <mergeCell ref="C18:G18"/>
  </mergeCells>
  <conditionalFormatting sqref="E23:E26">
    <cfRule type="cellIs" priority="1" dxfId="3" operator="equal" stopIfTrue="1">
      <formula>0</formula>
    </cfRule>
  </conditionalFormatting>
  <printOptions/>
  <pageMargins left="0.17" right="0.17" top="0.62" bottom="0.18" header="0.17" footer="0.17"/>
  <pageSetup fitToHeight="1" fitToWidth="1" horizontalDpi="300" verticalDpi="300" orientation="landscape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31"/>
  <sheetViews>
    <sheetView showGridLines="0" tabSelected="1" zoomScale="115" zoomScaleNormal="115" zoomScalePageLayoutView="0" workbookViewId="0" topLeftCell="A1">
      <selection activeCell="D22" sqref="D22"/>
    </sheetView>
  </sheetViews>
  <sheetFormatPr defaultColWidth="10.875" defaultRowHeight="12"/>
  <cols>
    <col min="1" max="1" width="1.875" style="139" customWidth="1"/>
    <col min="2" max="2" width="16.00390625" style="139" customWidth="1"/>
    <col min="3" max="4" width="14.00390625" style="140" customWidth="1"/>
    <col min="5" max="5" width="19.00390625" style="141" customWidth="1"/>
    <col min="6" max="6" width="14.75390625" style="142" bestFit="1" customWidth="1"/>
    <col min="7" max="8" width="10.25390625" style="139" customWidth="1"/>
    <col min="9" max="9" width="4.125" style="145" customWidth="1"/>
    <col min="10" max="10" width="11.625" style="139" customWidth="1"/>
    <col min="11" max="11" width="10.875" style="144" customWidth="1"/>
    <col min="12" max="12" width="13.375" style="144" customWidth="1"/>
    <col min="13" max="13" width="10.875" style="144" customWidth="1"/>
    <col min="14" max="14" width="12.75390625" style="139" customWidth="1"/>
    <col min="15" max="15" width="2.00390625" style="145" customWidth="1"/>
    <col min="16" max="16" width="13.375" style="139" customWidth="1"/>
    <col min="17" max="17" width="10.875" style="139" customWidth="1"/>
    <col min="18" max="18" width="12.125" style="139" customWidth="1"/>
    <col min="19" max="16384" width="10.875" style="139" customWidth="1"/>
  </cols>
  <sheetData>
    <row r="1" spans="7:12" ht="12" customHeight="1">
      <c r="G1" s="265" t="s">
        <v>31</v>
      </c>
      <c r="H1" s="265"/>
      <c r="I1" s="265"/>
      <c r="J1" s="265"/>
      <c r="K1" s="265"/>
      <c r="L1" s="265"/>
    </row>
    <row r="2" spans="2:19" ht="17.25" customHeight="1">
      <c r="B2" s="266" t="s">
        <v>32</v>
      </c>
      <c r="C2" s="267"/>
      <c r="D2" s="267"/>
      <c r="E2" s="267"/>
      <c r="F2" s="268"/>
      <c r="G2" s="265"/>
      <c r="H2" s="265"/>
      <c r="I2" s="265"/>
      <c r="J2" s="265"/>
      <c r="K2" s="265"/>
      <c r="L2" s="265"/>
      <c r="M2" s="146"/>
      <c r="N2" s="147"/>
      <c r="O2" s="148"/>
      <c r="P2" s="147"/>
      <c r="Q2" s="147"/>
      <c r="R2" s="147"/>
      <c r="S2" s="147"/>
    </row>
    <row r="3" spans="2:19" ht="18" customHeight="1">
      <c r="B3" s="266"/>
      <c r="C3" s="267"/>
      <c r="D3" s="267"/>
      <c r="E3" s="267"/>
      <c r="F3" s="268"/>
      <c r="G3" s="265"/>
      <c r="H3" s="265"/>
      <c r="I3" s="265"/>
      <c r="J3" s="265"/>
      <c r="K3" s="265"/>
      <c r="L3" s="265"/>
      <c r="M3" s="146"/>
      <c r="N3" s="147"/>
      <c r="O3" s="148"/>
      <c r="P3" s="147"/>
      <c r="Q3" s="147"/>
      <c r="R3" s="147"/>
      <c r="S3" s="147"/>
    </row>
    <row r="4" spans="2:19" ht="6" customHeight="1">
      <c r="B4" s="269" t="s">
        <v>38</v>
      </c>
      <c r="C4" s="270"/>
      <c r="D4" s="270"/>
      <c r="E4" s="270"/>
      <c r="F4" s="271"/>
      <c r="G4" s="265"/>
      <c r="H4" s="265"/>
      <c r="I4" s="265"/>
      <c r="J4" s="265"/>
      <c r="K4" s="265"/>
      <c r="L4" s="265"/>
      <c r="M4" s="146"/>
      <c r="N4" s="147"/>
      <c r="O4" s="148"/>
      <c r="P4" s="147"/>
      <c r="Q4" s="147"/>
      <c r="R4" s="147"/>
      <c r="S4" s="147"/>
    </row>
    <row r="5" spans="2:17" s="151" customFormat="1" ht="20.25" customHeight="1">
      <c r="B5" s="272"/>
      <c r="C5" s="273"/>
      <c r="D5" s="273"/>
      <c r="E5" s="273"/>
      <c r="F5" s="274"/>
      <c r="G5" s="265"/>
      <c r="H5" s="265"/>
      <c r="I5" s="265"/>
      <c r="J5" s="265"/>
      <c r="K5" s="265"/>
      <c r="L5" s="265"/>
      <c r="M5" s="139"/>
      <c r="N5" s="149"/>
      <c r="O5" s="150"/>
      <c r="P5" s="139"/>
      <c r="Q5" s="139"/>
    </row>
    <row r="6" spans="2:17" s="151" customFormat="1" ht="20.25" customHeight="1">
      <c r="B6" s="152"/>
      <c r="C6" s="152"/>
      <c r="D6" s="152"/>
      <c r="E6" s="152"/>
      <c r="F6" s="152"/>
      <c r="G6" s="143"/>
      <c r="H6" s="153"/>
      <c r="I6" s="153"/>
      <c r="J6" s="153"/>
      <c r="K6" s="153"/>
      <c r="L6" s="153"/>
      <c r="M6" s="153"/>
      <c r="N6" s="149"/>
      <c r="O6" s="150"/>
      <c r="P6" s="139"/>
      <c r="Q6" s="139"/>
    </row>
    <row r="7" spans="2:16" ht="17.25" customHeight="1">
      <c r="B7" s="154" t="s">
        <v>11</v>
      </c>
      <c r="C7" s="155"/>
      <c r="D7" s="155"/>
      <c r="E7" s="154"/>
      <c r="F7" s="156">
        <v>41027</v>
      </c>
      <c r="H7" s="157"/>
      <c r="I7" s="137" t="s">
        <v>40</v>
      </c>
      <c r="J7" s="148"/>
      <c r="K7" s="158"/>
      <c r="L7" s="159"/>
      <c r="M7" s="160"/>
      <c r="N7" s="147"/>
      <c r="P7" s="147"/>
    </row>
    <row r="8" spans="2:17" s="151" customFormat="1" ht="17.25" customHeight="1">
      <c r="B8" s="154" t="s">
        <v>12</v>
      </c>
      <c r="C8" s="154"/>
      <c r="D8" s="154"/>
      <c r="E8" s="154"/>
      <c r="F8" s="156">
        <v>41037</v>
      </c>
      <c r="G8" s="139"/>
      <c r="H8" s="161"/>
      <c r="I8" s="161"/>
      <c r="J8" s="161"/>
      <c r="K8" s="161"/>
      <c r="L8" s="161"/>
      <c r="M8" s="160"/>
      <c r="N8" s="162"/>
      <c r="O8" s="163"/>
      <c r="P8" s="164"/>
      <c r="Q8" s="139"/>
    </row>
    <row r="9" spans="2:17" s="151" customFormat="1" ht="17.25" customHeight="1">
      <c r="B9" s="154" t="s">
        <v>35</v>
      </c>
      <c r="C9" s="154"/>
      <c r="D9" s="154"/>
      <c r="E9" s="165"/>
      <c r="F9" s="166">
        <v>0.339998511395077</v>
      </c>
      <c r="G9" s="167"/>
      <c r="H9" s="148"/>
      <c r="I9" s="148"/>
      <c r="J9" s="148"/>
      <c r="K9" s="159"/>
      <c r="L9" s="159"/>
      <c r="M9" s="160"/>
      <c r="N9" s="162"/>
      <c r="O9" s="168"/>
      <c r="P9" s="164"/>
      <c r="Q9" s="139"/>
    </row>
    <row r="10" spans="2:17" s="151" customFormat="1" ht="26.25" customHeight="1">
      <c r="B10" s="280" t="s">
        <v>34</v>
      </c>
      <c r="C10" s="281"/>
      <c r="D10" s="281"/>
      <c r="E10" s="281"/>
      <c r="F10" s="169">
        <v>1000</v>
      </c>
      <c r="G10" s="167"/>
      <c r="H10" s="282"/>
      <c r="I10" s="283"/>
      <c r="J10" s="283"/>
      <c r="K10" s="283"/>
      <c r="L10" s="283"/>
      <c r="M10" s="283"/>
      <c r="N10" s="162"/>
      <c r="O10" s="168"/>
      <c r="P10" s="164"/>
      <c r="Q10" s="139"/>
    </row>
    <row r="11" spans="2:23" ht="17.25">
      <c r="B11" s="138" t="s">
        <v>41</v>
      </c>
      <c r="C11" s="170"/>
      <c r="D11" s="170"/>
      <c r="E11" s="171"/>
      <c r="F11" s="172">
        <f>XIRR(Flow,Fechas)</f>
        <v>0.38519192337989816</v>
      </c>
      <c r="G11" s="173"/>
      <c r="H11" s="174"/>
      <c r="I11" s="174"/>
      <c r="J11" s="174"/>
      <c r="K11" s="174"/>
      <c r="L11" s="174"/>
      <c r="M11" s="174"/>
      <c r="W11" s="175"/>
    </row>
    <row r="12" spans="2:23" ht="17.25" customHeight="1">
      <c r="B12" s="291" t="s">
        <v>44</v>
      </c>
      <c r="C12" s="170"/>
      <c r="D12" s="170"/>
      <c r="E12" s="171"/>
      <c r="F12" s="172">
        <f>(((1+T)^(1/4))-1)*4</f>
        <v>0.33947788048288885</v>
      </c>
      <c r="G12" s="173"/>
      <c r="H12" s="174"/>
      <c r="I12" s="174"/>
      <c r="J12" s="174"/>
      <c r="K12" s="174"/>
      <c r="L12" s="174"/>
      <c r="M12" s="174"/>
      <c r="W12" s="175"/>
    </row>
    <row r="13" spans="2:23" ht="17.25" customHeight="1">
      <c r="B13" s="176" t="s">
        <v>2</v>
      </c>
      <c r="C13" s="177"/>
      <c r="D13" s="177"/>
      <c r="E13" s="165"/>
      <c r="F13" s="178">
        <f>DM</f>
        <v>0.810727876108649</v>
      </c>
      <c r="K13" s="179"/>
      <c r="L13" s="139"/>
      <c r="M13" s="142"/>
      <c r="W13" s="175"/>
    </row>
    <row r="14" spans="2:23" ht="17.25" customHeight="1">
      <c r="B14" s="180" t="s">
        <v>1</v>
      </c>
      <c r="C14" s="181"/>
      <c r="D14" s="181"/>
      <c r="E14" s="165"/>
      <c r="F14" s="182">
        <f>PPV</f>
        <v>0.9050413339085347</v>
      </c>
      <c r="K14" s="179"/>
      <c r="L14" s="139"/>
      <c r="M14" s="139"/>
      <c r="W14" s="175"/>
    </row>
    <row r="15" spans="2:23" ht="17.25" customHeight="1">
      <c r="B15" s="176" t="s">
        <v>3</v>
      </c>
      <c r="C15" s="177"/>
      <c r="D15" s="177"/>
      <c r="E15" s="165"/>
      <c r="F15" s="182">
        <f>CONV</f>
        <v>0.45139614281707824</v>
      </c>
      <c r="G15" s="146"/>
      <c r="H15" s="147"/>
      <c r="I15" s="148"/>
      <c r="J15" s="147"/>
      <c r="K15" s="179"/>
      <c r="L15" s="139"/>
      <c r="M15" s="139"/>
      <c r="O15" s="148"/>
      <c r="W15" s="175"/>
    </row>
    <row r="16" spans="2:23" ht="15">
      <c r="B16" s="183"/>
      <c r="C16" s="184"/>
      <c r="D16" s="184"/>
      <c r="E16" s="185"/>
      <c r="F16" s="186"/>
      <c r="G16" s="147"/>
      <c r="H16" s="147"/>
      <c r="I16" s="148"/>
      <c r="J16" s="147"/>
      <c r="K16" s="146"/>
      <c r="L16" s="146"/>
      <c r="M16" s="146"/>
      <c r="N16" s="147"/>
      <c r="O16" s="148"/>
      <c r="W16" s="175"/>
    </row>
    <row r="17" spans="2:23" ht="15">
      <c r="B17" s="183"/>
      <c r="C17" s="276" t="s">
        <v>23</v>
      </c>
      <c r="D17" s="276"/>
      <c r="E17" s="276"/>
      <c r="F17" s="276"/>
      <c r="G17" s="276"/>
      <c r="H17" s="276"/>
      <c r="I17" s="148"/>
      <c r="J17" s="287" t="s">
        <v>21</v>
      </c>
      <c r="K17" s="287"/>
      <c r="L17" s="287"/>
      <c r="M17" s="287"/>
      <c r="N17" s="287"/>
      <c r="O17" s="148"/>
      <c r="P17" s="284" t="s">
        <v>25</v>
      </c>
      <c r="Q17" s="284"/>
      <c r="R17" s="284"/>
      <c r="S17" s="284"/>
      <c r="W17" s="175"/>
    </row>
    <row r="18" spans="2:31" s="195" customFormat="1" ht="17.25">
      <c r="B18" s="187" t="s">
        <v>10</v>
      </c>
      <c r="C18" s="278" t="s">
        <v>29</v>
      </c>
      <c r="D18" s="188" t="s">
        <v>36</v>
      </c>
      <c r="E18" s="277" t="s">
        <v>22</v>
      </c>
      <c r="F18" s="279" t="s">
        <v>42</v>
      </c>
      <c r="G18" s="279"/>
      <c r="H18" s="279"/>
      <c r="I18" s="189"/>
      <c r="J18" s="288" t="s">
        <v>16</v>
      </c>
      <c r="K18" s="289" t="s">
        <v>17</v>
      </c>
      <c r="L18" s="290" t="s">
        <v>18</v>
      </c>
      <c r="M18" s="275" t="s">
        <v>19</v>
      </c>
      <c r="N18" s="286" t="s">
        <v>20</v>
      </c>
      <c r="O18" s="189"/>
      <c r="P18" s="285">
        <f>S25/(2*PAGO)</f>
        <v>0.45139614281707824</v>
      </c>
      <c r="Q18" s="285"/>
      <c r="R18" s="285"/>
      <c r="S18" s="285"/>
      <c r="T18" s="190"/>
      <c r="U18" s="190"/>
      <c r="V18" s="191"/>
      <c r="W18" s="175"/>
      <c r="X18" s="192"/>
      <c r="Y18" s="192"/>
      <c r="Z18" s="193"/>
      <c r="AA18" s="193"/>
      <c r="AB18" s="147"/>
      <c r="AC18" s="190"/>
      <c r="AD18" s="194"/>
      <c r="AE18" s="190"/>
    </row>
    <row r="19" spans="2:31" s="206" customFormat="1" ht="15">
      <c r="B19" s="196">
        <v>40478</v>
      </c>
      <c r="C19" s="278"/>
      <c r="D19" s="188" t="s">
        <v>37</v>
      </c>
      <c r="E19" s="277"/>
      <c r="F19" s="197" t="s">
        <v>4</v>
      </c>
      <c r="G19" s="198" t="s">
        <v>5</v>
      </c>
      <c r="H19" s="199" t="s">
        <v>15</v>
      </c>
      <c r="I19" s="200"/>
      <c r="J19" s="288"/>
      <c r="K19" s="289"/>
      <c r="L19" s="290"/>
      <c r="M19" s="275"/>
      <c r="N19" s="286"/>
      <c r="O19" s="200"/>
      <c r="P19" s="201" t="s">
        <v>6</v>
      </c>
      <c r="Q19" s="201" t="s">
        <v>7</v>
      </c>
      <c r="R19" s="201" t="s">
        <v>8</v>
      </c>
      <c r="S19" s="202" t="s">
        <v>9</v>
      </c>
      <c r="T19" s="147"/>
      <c r="U19" s="147"/>
      <c r="V19" s="147"/>
      <c r="W19" s="175"/>
      <c r="X19" s="203"/>
      <c r="Y19" s="185"/>
      <c r="Z19" s="185"/>
      <c r="AA19" s="185"/>
      <c r="AB19" s="204"/>
      <c r="AC19" s="204"/>
      <c r="AD19" s="204"/>
      <c r="AE19" s="205"/>
    </row>
    <row r="20" spans="2:44" ht="15">
      <c r="B20" s="207"/>
      <c r="I20" s="208"/>
      <c r="J20" s="208"/>
      <c r="K20" s="208"/>
      <c r="L20" s="208"/>
      <c r="M20" s="208"/>
      <c r="N20" s="209"/>
      <c r="O20" s="208"/>
      <c r="P20" s="210"/>
      <c r="Q20" s="211"/>
      <c r="R20" s="212"/>
      <c r="S20" s="211"/>
      <c r="T20" s="213"/>
      <c r="U20" s="213"/>
      <c r="V20" s="214"/>
      <c r="W20" s="159"/>
      <c r="X20" s="214"/>
      <c r="Y20" s="214"/>
      <c r="Z20" s="214"/>
      <c r="AA20" s="148"/>
      <c r="AB20" s="210"/>
      <c r="AC20" s="211"/>
      <c r="AD20" s="212"/>
      <c r="AE20" s="211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</row>
    <row r="21" spans="2:31" ht="15">
      <c r="B21" s="215">
        <f>+F8</f>
        <v>41037</v>
      </c>
      <c r="C21" s="216"/>
      <c r="D21" s="216"/>
      <c r="E21" s="217"/>
      <c r="F21" s="218"/>
      <c r="G21" s="219"/>
      <c r="H21" s="220">
        <f>-cierre</f>
        <v>-1000</v>
      </c>
      <c r="I21" s="208"/>
      <c r="K21" s="139"/>
      <c r="L21" s="139"/>
      <c r="M21" s="139"/>
      <c r="N21" s="275">
        <f>M26/(1+T/4)</f>
        <v>0.810727876108649</v>
      </c>
      <c r="O21" s="208"/>
      <c r="P21" s="210">
        <f>C22/365</f>
        <v>0.25205479452054796</v>
      </c>
      <c r="Q21" s="211">
        <f>H22*(P21+P21^2)</f>
        <v>26.971429040193524</v>
      </c>
      <c r="R21" s="212">
        <f>(1+T)^(P21+2)</f>
        <v>2.082994689969882</v>
      </c>
      <c r="S21" s="211">
        <f>Q21/R21</f>
        <v>12.948390684847835</v>
      </c>
      <c r="T21" s="221"/>
      <c r="U21" s="221"/>
      <c r="V21" s="222"/>
      <c r="W21" s="146"/>
      <c r="X21" s="185"/>
      <c r="Y21" s="185"/>
      <c r="Z21" s="185"/>
      <c r="AA21" s="147"/>
      <c r="AB21" s="223"/>
      <c r="AC21" s="224"/>
      <c r="AD21" s="186"/>
      <c r="AE21" s="224"/>
    </row>
    <row r="22" spans="2:31" ht="15">
      <c r="B22" s="207">
        <v>41129</v>
      </c>
      <c r="C22" s="209">
        <f>+B22-B21</f>
        <v>92</v>
      </c>
      <c r="D22" s="225">
        <v>0.34</v>
      </c>
      <c r="E22" s="226">
        <v>1</v>
      </c>
      <c r="F22" s="227">
        <v>0</v>
      </c>
      <c r="G22" s="228">
        <f>D22*(B22-B21)/366*E22*1000</f>
        <v>85.46448087431695</v>
      </c>
      <c r="H22" s="227">
        <f>G22+F22</f>
        <v>85.46448087431695</v>
      </c>
      <c r="I22" s="208"/>
      <c r="J22" s="229">
        <f>H22*C22</f>
        <v>7862.732240437159</v>
      </c>
      <c r="K22" s="230">
        <f>H22/((1+T)^(C22/366))</f>
        <v>78.74352488941943</v>
      </c>
      <c r="L22" s="227">
        <f>K22/PAGO</f>
        <v>0.07873957079128707</v>
      </c>
      <c r="M22" s="230">
        <f>L22*C22</f>
        <v>7.244040512798411</v>
      </c>
      <c r="N22" s="275"/>
      <c r="O22" s="208"/>
      <c r="P22" s="210">
        <f>C23/365</f>
        <v>0.5041095890410959</v>
      </c>
      <c r="Q22" s="211">
        <f>H23*(P22+P22^2)</f>
        <v>64.80225182961158</v>
      </c>
      <c r="R22" s="212">
        <f>(1+T)^(P22+2)</f>
        <v>2.2612908444824855</v>
      </c>
      <c r="S22" s="211">
        <f>Q22/R22</f>
        <v>28.6571946230305</v>
      </c>
      <c r="T22" s="221"/>
      <c r="U22" s="221"/>
      <c r="V22" s="222"/>
      <c r="W22" s="146"/>
      <c r="X22" s="185"/>
      <c r="Y22" s="185"/>
      <c r="Z22" s="185"/>
      <c r="AA22" s="147"/>
      <c r="AB22" s="223"/>
      <c r="AC22" s="224"/>
      <c r="AD22" s="186"/>
      <c r="AE22" s="224"/>
    </row>
    <row r="23" spans="2:31" ht="15">
      <c r="B23" s="207">
        <v>41221</v>
      </c>
      <c r="C23" s="209">
        <f>+B23-B21</f>
        <v>184</v>
      </c>
      <c r="D23" s="225">
        <v>0.34</v>
      </c>
      <c r="E23" s="226">
        <v>1</v>
      </c>
      <c r="F23" s="227">
        <v>0</v>
      </c>
      <c r="G23" s="228">
        <f>D23*(B23-B22)/366*E23*1000</f>
        <v>85.46448087431695</v>
      </c>
      <c r="H23" s="227">
        <f>G23+F23</f>
        <v>85.46448087431695</v>
      </c>
      <c r="I23" s="208"/>
      <c r="J23" s="229">
        <f>H23*C23</f>
        <v>15725.464480874318</v>
      </c>
      <c r="K23" s="230">
        <f>H23/((1+T)^(C23/366))</f>
        <v>72.55110718017538</v>
      </c>
      <c r="L23" s="227">
        <f>K23/PAGO</f>
        <v>0.07254746403367153</v>
      </c>
      <c r="M23" s="230">
        <f>L23*C23</f>
        <v>13.348733382195562</v>
      </c>
      <c r="N23" s="275"/>
      <c r="O23" s="208"/>
      <c r="P23" s="210">
        <f>C24/365</f>
        <v>0.7561643835616438</v>
      </c>
      <c r="Q23" s="211">
        <f>H24*(P23+P23^2)</f>
        <v>113.80340663775621</v>
      </c>
      <c r="R23" s="212">
        <f>(1+T)^(P23+2)</f>
        <v>2.454848448708358</v>
      </c>
      <c r="S23" s="211">
        <f>Q23/R23</f>
        <v>46.35862824755433</v>
      </c>
      <c r="T23" s="221"/>
      <c r="U23" s="221"/>
      <c r="V23" s="222"/>
      <c r="W23" s="146"/>
      <c r="X23" s="185"/>
      <c r="Y23" s="185"/>
      <c r="Z23" s="185"/>
      <c r="AA23" s="147"/>
      <c r="AB23" s="223"/>
      <c r="AC23" s="224"/>
      <c r="AD23" s="186"/>
      <c r="AE23" s="224"/>
    </row>
    <row r="24" spans="2:19" ht="15">
      <c r="B24" s="207">
        <v>41313</v>
      </c>
      <c r="C24" s="209">
        <f>+B24-B21</f>
        <v>276</v>
      </c>
      <c r="D24" s="225">
        <v>0.34</v>
      </c>
      <c r="E24" s="226">
        <v>1</v>
      </c>
      <c r="F24" s="227">
        <v>0</v>
      </c>
      <c r="G24" s="228">
        <f>D24*(B24-B23)/365*E24*1000</f>
        <v>85.69863013698631</v>
      </c>
      <c r="H24" s="227">
        <f>G24+F24</f>
        <v>85.69863013698631</v>
      </c>
      <c r="I24" s="208"/>
      <c r="J24" s="229">
        <f>H24*C24</f>
        <v>23652.82191780822</v>
      </c>
      <c r="K24" s="230">
        <f>H24/((1+T)^(C24/365))</f>
        <v>66.98369417007649</v>
      </c>
      <c r="L24" s="227">
        <f>K24/PAGO</f>
        <v>0.06698033059065345</v>
      </c>
      <c r="M24" s="230">
        <f>L24*C24</f>
        <v>18.48657124302035</v>
      </c>
      <c r="N24" s="275"/>
      <c r="O24" s="208"/>
      <c r="P24" s="210">
        <f>C25/365</f>
        <v>1</v>
      </c>
      <c r="Q24" s="211">
        <f>H25*(P24+P24^2)</f>
        <v>2165.8082191780823</v>
      </c>
      <c r="R24" s="212">
        <f>(1+T)^(P24+2)</f>
        <v>2.65784623473098</v>
      </c>
      <c r="S24" s="211">
        <f>Q24/R24</f>
        <v>814.8734079785091</v>
      </c>
    </row>
    <row r="25" spans="2:19" ht="15">
      <c r="B25" s="207">
        <v>41402</v>
      </c>
      <c r="C25" s="209">
        <f>+B25-B21</f>
        <v>365</v>
      </c>
      <c r="D25" s="225">
        <v>0.34</v>
      </c>
      <c r="E25" s="226">
        <v>1</v>
      </c>
      <c r="F25" s="231">
        <v>1000</v>
      </c>
      <c r="G25" s="228">
        <f>D25*(B25-B24)/365*E25*1000</f>
        <v>82.9041095890411</v>
      </c>
      <c r="H25" s="227">
        <f>G25+F25</f>
        <v>1082.9041095890411</v>
      </c>
      <c r="I25" s="208"/>
      <c r="J25" s="229">
        <f>H25*C25</f>
        <v>395260</v>
      </c>
      <c r="K25" s="230">
        <f>H25/((1+T)^(C25/365))</f>
        <v>781.7718911807772</v>
      </c>
      <c r="L25" s="227">
        <f>K25/PAGO</f>
        <v>0.781732634584388</v>
      </c>
      <c r="M25" s="230">
        <f>L25*C25</f>
        <v>285.33241162330165</v>
      </c>
      <c r="N25" s="147"/>
      <c r="O25" s="208"/>
      <c r="P25" s="210"/>
      <c r="Q25" s="212"/>
      <c r="R25" s="148"/>
      <c r="S25" s="232">
        <f>SUM(S21:S24)</f>
        <v>902.8376215339418</v>
      </c>
    </row>
    <row r="26" spans="2:19" ht="15">
      <c r="B26" s="175"/>
      <c r="C26" s="233"/>
      <c r="D26" s="233"/>
      <c r="E26" s="234"/>
      <c r="F26" s="235"/>
      <c r="G26" s="235"/>
      <c r="H26" s="227">
        <f>SUM(H22:H25)</f>
        <v>1339.5317014746613</v>
      </c>
      <c r="I26" s="159"/>
      <c r="J26" s="229">
        <f>SUM(J22:J25)/H26</f>
        <v>330.34008687661515</v>
      </c>
      <c r="K26" s="230">
        <f>SUM(K22:K25)</f>
        <v>1000.0502174204485</v>
      </c>
      <c r="L26" s="236">
        <f>SUM(L22:L25)</f>
        <v>1</v>
      </c>
      <c r="M26" s="230">
        <f>(SUM(M22:M25))/365</f>
        <v>0.8887993335926465</v>
      </c>
      <c r="N26" s="147"/>
      <c r="O26" s="159"/>
      <c r="P26" s="147"/>
      <c r="Q26" s="147"/>
      <c r="R26" s="147"/>
      <c r="S26" s="147"/>
    </row>
    <row r="27" spans="2:15" ht="15">
      <c r="B27" s="175"/>
      <c r="E27" s="237"/>
      <c r="G27" s="142"/>
      <c r="H27" s="144"/>
      <c r="I27" s="238"/>
      <c r="K27" s="139"/>
      <c r="L27" s="139"/>
      <c r="O27" s="238"/>
    </row>
    <row r="28" spans="8:15" ht="15">
      <c r="H28" s="239"/>
      <c r="I28" s="240"/>
      <c r="J28" s="241" t="s">
        <v>24</v>
      </c>
      <c r="K28" s="139"/>
      <c r="L28" s="236">
        <f>J26/365</f>
        <v>0.9050413339085347</v>
      </c>
      <c r="O28" s="240"/>
    </row>
    <row r="29" ht="15">
      <c r="B29" s="136" t="s">
        <v>39</v>
      </c>
    </row>
    <row r="30" ht="15">
      <c r="B30" s="136" t="s">
        <v>43</v>
      </c>
    </row>
    <row r="31" ht="15">
      <c r="B31" s="136"/>
    </row>
  </sheetData>
  <sheetProtection password="E98D" sheet="1" objects="1" scenarios="1" selectLockedCells="1"/>
  <mergeCells count="18">
    <mergeCell ref="P17:S17"/>
    <mergeCell ref="P18:S18"/>
    <mergeCell ref="M18:M19"/>
    <mergeCell ref="N18:N19"/>
    <mergeCell ref="J17:N17"/>
    <mergeCell ref="J18:J19"/>
    <mergeCell ref="K18:K19"/>
    <mergeCell ref="L18:L19"/>
    <mergeCell ref="G1:L5"/>
    <mergeCell ref="B2:F3"/>
    <mergeCell ref="B4:F5"/>
    <mergeCell ref="N21:N24"/>
    <mergeCell ref="C17:H17"/>
    <mergeCell ref="E18:E19"/>
    <mergeCell ref="C18:C19"/>
    <mergeCell ref="F18:H18"/>
    <mergeCell ref="B10:E10"/>
    <mergeCell ref="H10:M10"/>
  </mergeCells>
  <conditionalFormatting sqref="F22:F25">
    <cfRule type="cellIs" priority="1" dxfId="3" operator="equal" stopIfTrue="1">
      <formula>0</formula>
    </cfRule>
  </conditionalFormatting>
  <printOptions/>
  <pageMargins left="0.35" right="0.17" top="0.44" bottom="0.984251968503937" header="0.43" footer="0.5"/>
  <pageSetup fitToHeight="1" fitToWidth="1" horizontalDpi="300" verticalDpi="300" orientation="landscape" scale="76" r:id="rId2"/>
  <ignoredErrors>
    <ignoredError sqref="P19:R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Mercado de Valores de Buenos Aires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IAMC</dc:creator>
  <cp:keywords/>
  <dc:description/>
  <cp:lastModifiedBy>psanches</cp:lastModifiedBy>
  <cp:lastPrinted>2015-09-02T18:11:52Z</cp:lastPrinted>
  <dcterms:created xsi:type="dcterms:W3CDTF">2007-01-18T21:19:46Z</dcterms:created>
  <dcterms:modified xsi:type="dcterms:W3CDTF">2016-05-03T17:48:11Z</dcterms:modified>
  <cp:category/>
  <cp:version/>
  <cp:contentType/>
  <cp:contentStatus/>
</cp:coreProperties>
</file>